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0E7674-C553-4639-997A-80DF19C48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G11" i="1"/>
  <c r="F11" i="1"/>
  <c r="Q23" i="1"/>
  <c r="Q22" i="1"/>
  <c r="E21" i="1"/>
  <c r="F21" i="1" s="1"/>
  <c r="G21" i="1" s="1"/>
  <c r="H21" i="1" s="1"/>
  <c r="C7" i="1"/>
  <c r="E22" i="1"/>
  <c r="F22" i="1" s="1"/>
  <c r="G22" i="1" s="1"/>
  <c r="I22" i="1" s="1"/>
  <c r="C8" i="1"/>
  <c r="Q21" i="1"/>
  <c r="E23" i="1"/>
  <c r="F23" i="1"/>
  <c r="G23" i="1"/>
  <c r="I23" i="1"/>
  <c r="C17" i="1"/>
  <c r="C12" i="1"/>
  <c r="C16" i="1" l="1"/>
  <c r="D18" i="1" s="1"/>
  <c r="C11" i="1"/>
  <c r="C15" i="1" l="1"/>
  <c r="O22" i="1"/>
  <c r="O21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<sst xmlns="http://schemas.openxmlformats.org/spreadsheetml/2006/main" count="57" uniqueCount="52">
  <si>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</si>
  <si>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</si>
  <si>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</si>
  <si>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</si>
  <si>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</si>
  <si>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</si>
  <si>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</si>
  <si>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</si>
  <si>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</si>
  <si>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</si>
  <si>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</si>
  <si>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</si>
  <si>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</si>
  <si>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</si>
  <si>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</si>
  <si>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</si>
  <si>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</si>
  <si>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</si>
  <si>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</si>
  <si>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</si>
  <si>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</si>
  <si>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</si>
  <si>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</si>
  <si>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</si>
  <si>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</si>
  <si>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</si>
  <si>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</si>
  <si>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</si>
  <si>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</si>
  <si>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</si>
  <si>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EA/AR</t>
  </si>
  <si>
    <t>IBVS 5595</t>
  </si>
  <si>
    <t>II</t>
  </si>
  <si>
    <t># of data points:</t>
  </si>
  <si>
    <t xml:space="preserve">19 26 25.6 +26 57 32 </t>
  </si>
  <si>
    <t>MN Vul / na</t>
  </si>
  <si>
    <t>IBVS 5745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</si>
  <si>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</si>
  <si>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</si>
  <si>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</si>
  <si>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</si>
  <si>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</si>
  <si>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</si>
  <si>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</si>
  <si>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CCD</t>
  </si>
  <si>
    <t xml:space="preserve">Mag p </t>
  </si>
  <si>
    <t>15.1-16.1</t>
  </si>
  <si>
    <t>Add cycle</t>
  </si>
  <si>
    <t>Old Cycle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</si>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</sst>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22" fontId="18" fillId="0" borderId="7" xfId="0" applyNumberFormat="1" applyFont="1" applyBorder="1" applyAlignment="1">
      <alignment horizontal="right" vertical="center"/>
    </xf>
    <xf numFmtId="22" fontId="20" fillId="0" borderId="8" xfId="0" applyNumberFormat="1" applyFont="1" applyBorder="1" applyAlignment="1">
      <alignment vertical="center"/>
    </xf>
    <xf numFmtId="22" fontId="20" fillId="0" borderId="9" xfId="0" applyNumberFormat="1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Vul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452405950567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2-41DC-AB2B-798BB06080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-3.4550000003946479E-2</c:v>
                </c:pt>
                <c:pt idx="2">
                  <c:v>-4.3900000004214235E-2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2-41DC-AB2B-798BB06080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D2-41DC-AB2B-798BB06080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D2-41DC-AB2B-798BB06080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D2-41DC-AB2B-798BB06080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D2-41DC-AB2B-798BB06080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D2-41DC-AB2B-798BB06080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6067.5</c:v>
                </c:pt>
                <c:pt idx="2">
                  <c:v>6196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8.9328884823370452E-5</c:v>
                </c:pt>
                <c:pt idx="1">
                  <c:v>-3.8857251135196405E-2</c:v>
                </c:pt>
                <c:pt idx="2">
                  <c:v>-3.9682077757787676E-2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D2-41DC-AB2B-798BB0608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996720"/>
        <c:axId val="1"/>
      </c:scatterChart>
      <c:valAx>
        <c:axId val="6549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99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57149</xdr:rowOff>
    </xdr:from>
    <xdr:to>
      <xdr:col>19</xdr:col>
      <xdr:colOff>581025</xdr:colOff>
      <xdr:row>18</xdr:row>
      <xdr:rowOff>123824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77B2C0-E652-EB18-13F7-A495AB6F3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>
      <c r="A1" s="27" t="s">
        <v>35</v>
      </c>
      <c r="C1" s="28" t="s">
        <v>34</v>
      </c>
    </row>
    <row r="2" spans="1:7" s="5" customFormat="1" ht="12.95" customHeight="1">
      <c r="A2" s="5" t="s">
        <v>25</v>
      </c>
      <c r="B2" s="5" t="s">
        <v>30</v>
      </c>
    </row>
    <row r="3" spans="1:7" s="5" customFormat="1" ht="12.95" customHeight="1" thickBot="1"/>
    <row r="4" spans="1:7" s="5" customFormat="1" ht="12.95" customHeight="1" thickTop="1" thickBot="1">
      <c r="A4" s="6" t="s">
        <v>0</v>
      </c>
      <c r="C4" s="7">
        <v>39406.232000000004</v>
      </c>
      <c r="D4" s="8">
        <v>2.2734999999999999</v>
      </c>
    </row>
    <row r="5" spans="1:7" s="5" customFormat="1" ht="12.95" customHeight="1" thickTop="1"/>
    <row r="6" spans="1:7" s="5" customFormat="1" ht="12.95" customHeight="1">
      <c r="A6" s="6" t="s">
        <v>1</v>
      </c>
    </row>
    <row r="7" spans="1:7" s="5" customFormat="1" ht="12.95" customHeight="1">
      <c r="A7" s="5" t="s">
        <v>2</v>
      </c>
      <c r="C7" s="5">
        <f>+C4</f>
        <v>39406.232000000004</v>
      </c>
      <c r="D7" s="38" t="s">
        <v>51</v>
      </c>
    </row>
    <row r="8" spans="1:7" s="5" customFormat="1" ht="12.95" customHeight="1">
      <c r="A8" s="5" t="s">
        <v>3</v>
      </c>
      <c r="C8" s="5">
        <f>+D4</f>
        <v>2.2734999999999999</v>
      </c>
      <c r="D8" s="38" t="s">
        <v>51</v>
      </c>
    </row>
    <row r="9" spans="1:7" s="5" customFormat="1" ht="12.95" customHeight="1">
      <c r="A9" s="9" t="s">
        <v>38</v>
      </c>
      <c r="C9" s="10">
        <v>-9.5</v>
      </c>
      <c r="D9" s="5" t="s">
        <v>39</v>
      </c>
    </row>
    <row r="10" spans="1:7" s="5" customFormat="1" ht="12.95" customHeight="1" thickBot="1">
      <c r="C10" s="11" t="s">
        <v>21</v>
      </c>
      <c r="D10" s="11" t="s">
        <v>22</v>
      </c>
    </row>
    <row r="11" spans="1:7" s="5" customFormat="1" ht="12.95" customHeight="1">
      <c r="A11" s="5" t="s">
        <v>16</v>
      </c>
      <c r="C11" s="12">
        <f ca="1">INTERCEPT(INDIRECT($G$11):G992,INDIRECT($F$11):F992)</f>
        <v>8.9328884823370452E-5</v>
      </c>
      <c r="D11" s="13"/>
      <c r="F11" s="14" t="str">
        <f>"F"&amp;E19</f>
        <v>F21</v>
      </c>
      <c r="G11" s="12" t="str">
        <f>"G"&amp;E19</f>
        <v>G21</v>
      </c>
    </row>
    <row r="12" spans="1:7" s="5" customFormat="1" ht="12.95" customHeight="1">
      <c r="A12" s="5" t="s">
        <v>17</v>
      </c>
      <c r="C12" s="12">
        <f ca="1">SLOPE(INDIRECT($G$11):G992,INDIRECT($F$11):F992)</f>
        <v>-6.4188842225001689E-6</v>
      </c>
      <c r="D12" s="13"/>
      <c r="E12" s="29" t="s">
        <v>45</v>
      </c>
      <c r="F12" s="30" t="s">
        <v>46</v>
      </c>
    </row>
    <row r="13" spans="1:7" s="5" customFormat="1" ht="12.95" customHeight="1">
      <c r="A13" s="5" t="s">
        <v>20</v>
      </c>
      <c r="C13" s="13" t="s">
        <v>14</v>
      </c>
      <c r="D13" s="13"/>
      <c r="E13" s="31" t="s">
        <v>47</v>
      </c>
      <c r="F13" s="32">
        <v>1</v>
      </c>
    </row>
    <row r="14" spans="1:7" s="5" customFormat="1" ht="12.95" customHeight="1">
      <c r="E14" s="31" t="s">
        <v>40</v>
      </c>
      <c r="F14" s="33">
        <f ca="1">NOW()+15018.5+$C$5/24</f>
        <v>60519.239763425925</v>
      </c>
    </row>
    <row r="15" spans="1:7" s="5" customFormat="1" ht="12.95" customHeight="1">
      <c r="A15" s="15" t="s">
        <v>18</v>
      </c>
      <c r="C15" s="16">
        <f ca="1">(C7+C11)+(C8+C12)*INT(MAX(F21:F3533))</f>
        <v>53492.798317922243</v>
      </c>
      <c r="D15" s="17" t="s">
        <v>40</v>
      </c>
      <c r="E15" s="31" t="s">
        <v>48</v>
      </c>
      <c r="F15" s="33">
        <f ca="1">ROUND(2*(F14-$C$7)/$C$8,0)/2+F13</f>
        <v>9287.5</v>
      </c>
    </row>
    <row r="16" spans="1:7" s="5" customFormat="1" ht="12.95" customHeight="1">
      <c r="A16" s="6" t="s">
        <v>4</v>
      </c>
      <c r="C16" s="18">
        <f ca="1">+C8+C12</f>
        <v>2.2734935811157775</v>
      </c>
      <c r="D16" s="17" t="s">
        <v>41</v>
      </c>
      <c r="E16" s="31" t="s">
        <v>41</v>
      </c>
      <c r="F16" s="33">
        <f ca="1">ROUND(2*(F14-$C$15)/$C$16,0)/2+F13</f>
        <v>3091.5</v>
      </c>
    </row>
    <row r="17" spans="1:17" s="5" customFormat="1" ht="12.95" customHeight="1" thickBot="1">
      <c r="A17" s="17" t="s">
        <v>33</v>
      </c>
      <c r="C17" s="5">
        <f>COUNT(C21:C2191)</f>
        <v>3</v>
      </c>
      <c r="D17" s="17" t="s">
        <v>42</v>
      </c>
      <c r="E17" s="34" t="s">
        <v>49</v>
      </c>
      <c r="F17" s="35">
        <f ca="1">+$C$15+$C$16*$F$16-15018.5-$C$9/24</f>
        <v>45503.199557275002</v>
      </c>
    </row>
    <row r="18" spans="1:17" s="5" customFormat="1" ht="12.95" customHeight="1">
      <c r="A18" s="6" t="s">
        <v>5</v>
      </c>
      <c r="C18" s="7">
        <f ca="1">+C15</f>
        <v>53492.798317922243</v>
      </c>
      <c r="D18" s="8">
        <f ca="1">+C16</f>
        <v>2.2734935811157775</v>
      </c>
      <c r="E18" s="37" t="s">
        <v>50</v>
      </c>
      <c r="F18" s="36">
        <f ca="1">+($C$15+$C$16*$F$16)-($C$16/2)-15018.5-$C$9/24</f>
        <v>45502.062810484444</v>
      </c>
    </row>
    <row r="19" spans="1:17" s="5" customFormat="1" ht="12.95" customHeight="1" thickTop="1">
      <c r="A19" s="19" t="s">
        <v>43</v>
      </c>
      <c r="E19" s="20">
        <v>21</v>
      </c>
    </row>
    <row r="20" spans="1:17" s="5" customFormat="1" ht="12.95" customHeight="1" thickBot="1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1" t="s">
        <v>12</v>
      </c>
      <c r="I20" s="21" t="s">
        <v>44</v>
      </c>
      <c r="J20" s="21" t="s">
        <v>19</v>
      </c>
      <c r="K20" s="21" t="s">
        <v>26</v>
      </c>
      <c r="L20" s="21" t="s">
        <v>27</v>
      </c>
      <c r="M20" s="21" t="s">
        <v>28</v>
      </c>
      <c r="N20" s="21" t="s">
        <v>29</v>
      </c>
      <c r="O20" s="21" t="s">
        <v>24</v>
      </c>
      <c r="P20" s="22" t="s">
        <v>23</v>
      </c>
      <c r="Q20" s="11" t="s">
        <v>15</v>
      </c>
    </row>
    <row r="21" spans="1:17" s="5" customFormat="1" ht="12.95" customHeight="1">
      <c r="A21" s="5" t="s">
        <v>12</v>
      </c>
      <c r="C21" s="23">
        <v>39406.232000000004</v>
      </c>
      <c r="D21" s="23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8.9328884823370452E-5</v>
      </c>
      <c r="Q21" s="24">
        <f>+C21-15018.5</f>
        <v>24387.732000000004</v>
      </c>
    </row>
    <row r="22" spans="1:17" s="5" customFormat="1" ht="12.95" customHeight="1">
      <c r="A22" s="2" t="s">
        <v>31</v>
      </c>
      <c r="B22" s="3" t="s">
        <v>32</v>
      </c>
      <c r="C22" s="23">
        <v>53200.6587</v>
      </c>
      <c r="D22" s="23">
        <v>6.9999999999999999E-4</v>
      </c>
      <c r="E22" s="5">
        <f>+(C22-C$7)/C$8</f>
        <v>6067.4848031669217</v>
      </c>
      <c r="F22" s="5">
        <f>ROUND(2*E22,0)/2</f>
        <v>6067.5</v>
      </c>
      <c r="G22" s="5">
        <f>+C22-(C$7+F22*C$8)</f>
        <v>-3.4550000003946479E-2</v>
      </c>
      <c r="I22" s="5">
        <f>+G22</f>
        <v>-3.4550000003946479E-2</v>
      </c>
      <c r="O22" s="5">
        <f ca="1">+C$11+C$12*$F22</f>
        <v>-3.8857251135196405E-2</v>
      </c>
      <c r="Q22" s="24">
        <f>+C22-15018.5</f>
        <v>38182.1587</v>
      </c>
    </row>
    <row r="23" spans="1:17" s="5" customFormat="1" ht="12.95" customHeight="1">
      <c r="A23" s="25" t="s">
        <v>36</v>
      </c>
      <c r="B23" s="13" t="s">
        <v>37</v>
      </c>
      <c r="C23" s="2">
        <v>53492.794099999999</v>
      </c>
      <c r="D23" s="26">
        <v>1.1999999999999999E-3</v>
      </c>
      <c r="E23" s="5">
        <f>+(C23-C$7)/C$8</f>
        <v>6195.9806905652067</v>
      </c>
      <c r="F23" s="5">
        <f>ROUND(2*E23,0)/2</f>
        <v>6196</v>
      </c>
      <c r="G23" s="5">
        <f>+C23-(C$7+F23*C$8)</f>
        <v>-4.3900000004214235E-2</v>
      </c>
      <c r="I23" s="5">
        <f>+G23</f>
        <v>-4.3900000004214235E-2</v>
      </c>
      <c r="O23" s="5">
        <f ca="1">+C$11+C$12*$F23</f>
        <v>-3.9682077757787676E-2</v>
      </c>
      <c r="Q23" s="24">
        <f>+C23-15018.5</f>
        <v>38474.294099999999</v>
      </c>
    </row>
    <row r="24" spans="1:17" s="5" customFormat="1" ht="12.95" customHeight="1">
      <c r="C24" s="23"/>
      <c r="D24" s="23"/>
      <c r="Q24" s="24"/>
    </row>
    <row r="25" spans="1:17" s="5" customFormat="1" ht="12.95" customHeight="1">
      <c r="C25" s="23"/>
      <c r="D25" s="23"/>
      <c r="Q25" s="24"/>
    </row>
    <row r="26" spans="1:17" s="5" customFormat="1" ht="12.95" customHeight="1">
      <c r="C26" s="23"/>
      <c r="D26" s="23"/>
      <c r="Q26" s="24"/>
    </row>
    <row r="27" spans="1:17" s="5" customFormat="1" ht="12.95" customHeight="1">
      <c r="C27" s="23"/>
      <c r="D27" s="23"/>
      <c r="Q27" s="24"/>
    </row>
    <row r="28" spans="1:17" s="5" customFormat="1" ht="12.95" customHeight="1">
      <c r="C28" s="23"/>
      <c r="D28" s="23"/>
      <c r="Q28" s="24"/>
    </row>
    <row r="29" spans="1:17" s="5" customFormat="1" ht="12.95" customHeight="1">
      <c r="C29" s="23"/>
      <c r="D29" s="23"/>
      <c r="Q29" s="24"/>
    </row>
    <row r="30" spans="1:17" s="5" customFormat="1" ht="12.95" customHeight="1">
      <c r="C30" s="23"/>
      <c r="D30" s="23"/>
      <c r="Q30" s="24"/>
    </row>
    <row r="31" spans="1:17" s="5" customFormat="1" ht="12.95" customHeight="1">
      <c r="C31" s="23"/>
      <c r="D31" s="23"/>
      <c r="Q31" s="24"/>
    </row>
    <row r="32" spans="1:17">
      <c r="C32" s="4"/>
      <c r="D32" s="4"/>
      <c r="Q32" s="1"/>
    </row>
    <row r="33" spans="3:17">
      <c r="C33" s="4"/>
      <c r="D33" s="4"/>
      <c r="Q33" s="1"/>
    </row>
    <row r="34" spans="3:17">
      <c r="C34" s="4"/>
      <c r="D34" s="4"/>
    </row>
    <row r="35" spans="3:17">
      <c r="C35" s="4"/>
      <c r="D35" s="4"/>
    </row>
    <row r="36" spans="3:17">
      <c r="C36" s="4"/>
      <c r="D36" s="4"/>
    </row>
    <row r="37" spans="3:17">
      <c r="C37" s="4"/>
      <c r="D37" s="4"/>
    </row>
    <row r="38" spans="3:17">
      <c r="C38" s="4"/>
      <c r="D38" s="4"/>
    </row>
    <row r="39" spans="3:17">
      <c r="C39" s="4"/>
      <c r="D39" s="4"/>
    </row>
    <row r="40" spans="3:17">
      <c r="C40" s="4"/>
      <c r="D40" s="4"/>
    </row>
    <row r="41" spans="3:17">
      <c r="C41" s="4"/>
      <c r="D41" s="4"/>
    </row>
    <row r="42" spans="3:17">
      <c r="C42" s="4"/>
      <c r="D42" s="4"/>
    </row>
    <row r="43" spans="3:17">
      <c r="C43" s="4"/>
      <c r="D43" s="4"/>
    </row>
    <row r="44" spans="3:17">
      <c r="C44" s="4"/>
      <c r="D44" s="4"/>
    </row>
    <row r="45" spans="3:17">
      <c r="C45" s="4"/>
      <c r="D45" s="4"/>
    </row>
    <row r="46" spans="3:17">
      <c r="C46" s="4"/>
      <c r="D46" s="4"/>
    </row>
    <row r="47" spans="3:17">
      <c r="C47" s="4"/>
      <c r="D47" s="4"/>
    </row>
    <row r="48" spans="3:17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2024-07-27T08:15:15Z</dcterms:modified>
</cp:coreProperties>
</file>