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C1839DF-F3ED-41AF-AA88-7F8A589FF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73" i="1"/>
  <c r="F73" i="1" s="1"/>
  <c r="G73" i="1" s="1"/>
  <c r="K73" i="1" s="1"/>
  <c r="Q73" i="1"/>
  <c r="E72" i="1"/>
  <c r="F72" i="1"/>
  <c r="G72" i="1"/>
  <c r="K72" i="1"/>
  <c r="Q72" i="1"/>
  <c r="C7" i="1"/>
  <c r="E32" i="1"/>
  <c r="F32" i="1"/>
  <c r="G32" i="1"/>
  <c r="H32" i="1"/>
  <c r="C8" i="1"/>
  <c r="E71" i="1"/>
  <c r="F71" i="1"/>
  <c r="G71" i="1"/>
  <c r="K71" i="1"/>
  <c r="E60" i="1"/>
  <c r="F60" i="1"/>
  <c r="G60" i="1"/>
  <c r="I60" i="1"/>
  <c r="E61" i="1"/>
  <c r="F61" i="1"/>
  <c r="G61" i="1"/>
  <c r="J61" i="1"/>
  <c r="E62" i="1"/>
  <c r="F62" i="1"/>
  <c r="G62" i="1"/>
  <c r="J62" i="1"/>
  <c r="E63" i="1"/>
  <c r="F63" i="1"/>
  <c r="G63" i="1"/>
  <c r="J63" i="1"/>
  <c r="E64" i="1"/>
  <c r="F64" i="1"/>
  <c r="G64" i="1"/>
  <c r="I64" i="1"/>
  <c r="E65" i="1"/>
  <c r="F65" i="1"/>
  <c r="G65" i="1"/>
  <c r="I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E70" i="1"/>
  <c r="F70" i="1"/>
  <c r="G70" i="1"/>
  <c r="K70" i="1"/>
  <c r="D9" i="1"/>
  <c r="C9" i="1"/>
  <c r="E56" i="1"/>
  <c r="F56" i="1"/>
  <c r="G56" i="1"/>
  <c r="E57" i="1"/>
  <c r="F57" i="1"/>
  <c r="G57" i="1"/>
  <c r="I57" i="1"/>
  <c r="E58" i="1"/>
  <c r="F58" i="1"/>
  <c r="G58" i="1"/>
  <c r="I58" i="1"/>
  <c r="E59" i="1"/>
  <c r="F59" i="1"/>
  <c r="G59" i="1"/>
  <c r="I59" i="1"/>
  <c r="Q71" i="1"/>
  <c r="E22" i="1"/>
  <c r="F22" i="1"/>
  <c r="G22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I48" i="1"/>
  <c r="E49" i="1"/>
  <c r="F49" i="1"/>
  <c r="G49" i="1"/>
  <c r="H49" i="1"/>
  <c r="E50" i="1"/>
  <c r="F50" i="1"/>
  <c r="G50" i="1"/>
  <c r="H50" i="1"/>
  <c r="E51" i="1"/>
  <c r="F51" i="1"/>
  <c r="G51" i="1"/>
  <c r="I51" i="1"/>
  <c r="E52" i="1"/>
  <c r="F52" i="1"/>
  <c r="G52" i="1"/>
  <c r="E53" i="1"/>
  <c r="F53" i="1"/>
  <c r="G53" i="1"/>
  <c r="I53" i="1"/>
  <c r="E54" i="1"/>
  <c r="F54" i="1"/>
  <c r="G54" i="1"/>
  <c r="I54" i="1"/>
  <c r="E55" i="1"/>
  <c r="F55" i="1"/>
  <c r="G55" i="1"/>
  <c r="E23" i="1"/>
  <c r="F23" i="1"/>
  <c r="U23" i="1"/>
  <c r="E21" i="1"/>
  <c r="F21" i="1"/>
  <c r="G21" i="1"/>
  <c r="H21" i="1"/>
  <c r="H22" i="1"/>
  <c r="Q22" i="1"/>
  <c r="Q23" i="1"/>
  <c r="Q24" i="1"/>
  <c r="Q25" i="1"/>
  <c r="Q26" i="1"/>
  <c r="H27" i="1"/>
  <c r="Q27" i="1"/>
  <c r="Q28" i="1"/>
  <c r="Q29" i="1"/>
  <c r="Q30" i="1"/>
  <c r="Q31" i="1"/>
  <c r="Q33" i="1"/>
  <c r="Q34" i="1"/>
  <c r="Q35" i="1"/>
  <c r="H36" i="1"/>
  <c r="Q36" i="1"/>
  <c r="Q37" i="1"/>
  <c r="Q38" i="1"/>
  <c r="Q39" i="1"/>
  <c r="Q40" i="1"/>
  <c r="Q41" i="1"/>
  <c r="Q42" i="1"/>
  <c r="Q43" i="1"/>
  <c r="H44" i="1"/>
  <c r="Q44" i="1"/>
  <c r="Q45" i="1"/>
  <c r="Q46" i="1"/>
  <c r="Q47" i="1"/>
  <c r="Q49" i="1"/>
  <c r="Q50" i="1"/>
  <c r="Q58" i="1"/>
  <c r="Q61" i="1"/>
  <c r="Q64" i="1"/>
  <c r="Q65" i="1"/>
  <c r="Q67" i="1"/>
  <c r="Q68" i="1"/>
  <c r="Q21" i="1"/>
  <c r="G24" i="2"/>
  <c r="C24" i="2"/>
  <c r="E24" i="2"/>
  <c r="G23" i="2"/>
  <c r="C23" i="2"/>
  <c r="E23" i="2"/>
  <c r="G58" i="2"/>
  <c r="C58" i="2"/>
  <c r="E58" i="2"/>
  <c r="G57" i="2"/>
  <c r="C57" i="2"/>
  <c r="E57" i="2"/>
  <c r="G22" i="2"/>
  <c r="C22" i="2"/>
  <c r="E22" i="2"/>
  <c r="G56" i="2"/>
  <c r="C56" i="2"/>
  <c r="E56" i="2"/>
  <c r="G55" i="2"/>
  <c r="C55" i="2"/>
  <c r="E55" i="2"/>
  <c r="G21" i="2"/>
  <c r="C21" i="2"/>
  <c r="E21" i="2"/>
  <c r="G54" i="2"/>
  <c r="C54" i="2"/>
  <c r="E54" i="2"/>
  <c r="G20" i="2"/>
  <c r="C20" i="2"/>
  <c r="E20" i="2"/>
  <c r="G19" i="2"/>
  <c r="C19" i="2"/>
  <c r="E19" i="2"/>
  <c r="G53" i="2"/>
  <c r="C53" i="2"/>
  <c r="E53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52" i="2"/>
  <c r="C52" i="2"/>
  <c r="E52" i="2"/>
  <c r="G51" i="2"/>
  <c r="C51" i="2"/>
  <c r="E51" i="2"/>
  <c r="G11" i="2"/>
  <c r="C11" i="2"/>
  <c r="E1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H24" i="2"/>
  <c r="B24" i="2"/>
  <c r="D24" i="2"/>
  <c r="A24" i="2"/>
  <c r="H23" i="2"/>
  <c r="D23" i="2"/>
  <c r="B23" i="2"/>
  <c r="A23" i="2"/>
  <c r="H58" i="2"/>
  <c r="B58" i="2"/>
  <c r="D58" i="2"/>
  <c r="A58" i="2"/>
  <c r="H57" i="2"/>
  <c r="D57" i="2"/>
  <c r="B57" i="2"/>
  <c r="A57" i="2"/>
  <c r="H22" i="2"/>
  <c r="B22" i="2"/>
  <c r="D22" i="2"/>
  <c r="A22" i="2"/>
  <c r="H56" i="2"/>
  <c r="D56" i="2"/>
  <c r="B56" i="2"/>
  <c r="A56" i="2"/>
  <c r="H55" i="2"/>
  <c r="B55" i="2"/>
  <c r="D55" i="2"/>
  <c r="A55" i="2"/>
  <c r="H21" i="2"/>
  <c r="D21" i="2"/>
  <c r="B21" i="2"/>
  <c r="A21" i="2"/>
  <c r="H54" i="2"/>
  <c r="B54" i="2"/>
  <c r="D54" i="2"/>
  <c r="A54" i="2"/>
  <c r="H20" i="2"/>
  <c r="D20" i="2"/>
  <c r="B20" i="2"/>
  <c r="A20" i="2"/>
  <c r="H19" i="2"/>
  <c r="B19" i="2"/>
  <c r="D19" i="2"/>
  <c r="A19" i="2"/>
  <c r="H53" i="2"/>
  <c r="D53" i="2"/>
  <c r="B53" i="2"/>
  <c r="A53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52" i="2"/>
  <c r="D52" i="2"/>
  <c r="B52" i="2"/>
  <c r="A52" i="2"/>
  <c r="H51" i="2"/>
  <c r="B51" i="2"/>
  <c r="D51" i="2"/>
  <c r="A51" i="2"/>
  <c r="H11" i="2"/>
  <c r="D11" i="2"/>
  <c r="B11" i="2"/>
  <c r="A1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70" i="1"/>
  <c r="Q69" i="1"/>
  <c r="K69" i="1"/>
  <c r="Q66" i="1"/>
  <c r="C17" i="1"/>
  <c r="Q63" i="1"/>
  <c r="Q48" i="1"/>
  <c r="Q51" i="1"/>
  <c r="I52" i="1"/>
  <c r="Q52" i="1"/>
  <c r="Q53" i="1"/>
  <c r="Q54" i="1"/>
  <c r="I55" i="1"/>
  <c r="Q55" i="1"/>
  <c r="I56" i="1"/>
  <c r="Q56" i="1"/>
  <c r="Q57" i="1"/>
  <c r="Q59" i="1"/>
  <c r="Q60" i="1"/>
  <c r="Q62" i="1"/>
  <c r="Q32" i="1"/>
  <c r="C12" i="1"/>
  <c r="C11" i="1"/>
  <c r="F15" i="1" l="1"/>
  <c r="O73" i="1"/>
  <c r="C16" i="1"/>
  <c r="D18" i="1" s="1"/>
  <c r="O36" i="1"/>
  <c r="O42" i="1"/>
  <c r="O35" i="1"/>
  <c r="O24" i="1"/>
  <c r="O25" i="1"/>
  <c r="O39" i="1"/>
  <c r="O64" i="1"/>
  <c r="O60" i="1"/>
  <c r="O29" i="1"/>
  <c r="O67" i="1"/>
  <c r="O53" i="1"/>
  <c r="O58" i="1"/>
  <c r="O55" i="1"/>
  <c r="O46" i="1"/>
  <c r="O70" i="1"/>
  <c r="O30" i="1"/>
  <c r="O33" i="1"/>
  <c r="O57" i="1"/>
  <c r="O34" i="1"/>
  <c r="O54" i="1"/>
  <c r="O62" i="1"/>
  <c r="O50" i="1"/>
  <c r="O31" i="1"/>
  <c r="O23" i="1"/>
  <c r="O47" i="1"/>
  <c r="O51" i="1"/>
  <c r="O48" i="1"/>
  <c r="O38" i="1"/>
  <c r="O41" i="1"/>
  <c r="O45" i="1"/>
  <c r="O72" i="1"/>
  <c r="O40" i="1"/>
  <c r="O44" i="1"/>
  <c r="O49" i="1"/>
  <c r="O26" i="1"/>
  <c r="O43" i="1"/>
  <c r="O69" i="1"/>
  <c r="O27" i="1"/>
  <c r="O56" i="1"/>
  <c r="O63" i="1"/>
  <c r="C15" i="1"/>
  <c r="O66" i="1"/>
  <c r="O32" i="1"/>
  <c r="O68" i="1"/>
  <c r="O28" i="1"/>
  <c r="O71" i="1"/>
  <c r="O52" i="1"/>
  <c r="O59" i="1"/>
  <c r="O61" i="1"/>
  <c r="O37" i="1"/>
  <c r="O21" i="1"/>
  <c r="O65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<sst xmlns="http://schemas.openxmlformats.org/spreadsheetml/2006/main" count="529" uniqueCount="279">
  <si>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</si>
  <si>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</si>
  <si>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</si>
  <si>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</si>
  <si>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</si>
  <si>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</si>
  <si>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</si>
  <si>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</si>
  <si>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</si>
  <si>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</si>
  <si>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</si>
  <si>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</si>
  <si>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</si>
  <si>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</si>
  <si>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</si>
  <si>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</si>
  <si>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</si>
  <si>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</si>
  <si>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</si>
  <si>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</si>
  <si>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</si>
  <si>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</si>
  <si>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</si>
  <si>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</si>
  <si>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</si>
  <si>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</si>
  <si>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</si>
  <si>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</si>
  <si>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Bull...30</t>
  </si>
  <si>
    <t>B</t>
  </si>
  <si>
    <t>BBSAG Bull.50</t>
  </si>
  <si>
    <t>v</t>
  </si>
  <si>
    <t>BBSAG Bull.52</t>
  </si>
  <si>
    <t>BBSAG Bull.54</t>
  </si>
  <si>
    <t>BBSAG Bull.56</t>
  </si>
  <si>
    <t>BBSAG Bull.64</t>
  </si>
  <si>
    <t>Kohl M</t>
  </si>
  <si>
    <t>BAV-M 46</t>
  </si>
  <si>
    <t>K</t>
  </si>
  <si>
    <t>phe</t>
  </si>
  <si>
    <t>BAV-M 56</t>
  </si>
  <si>
    <t>IBVS 5287</t>
  </si>
  <si>
    <t>I</t>
  </si>
  <si>
    <t># of data points:</t>
  </si>
  <si>
    <t>EA</t>
  </si>
  <si>
    <t>RR Vul / GSC 02179-00845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</si>
  <si>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</si>
  <si>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</si>
  <si>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</si>
  <si>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</si>
  <si>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</si>
  <si>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0074</t>
  </si>
  <si>
    <t>CCD+V</t>
  </si>
  <si>
    <t>OEJV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</si>
  <si>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</si>
  <si>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</si>
  <si>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</si>
  <si>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</si>
  <si>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</si>
  <si>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</si>
  <si>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</si>
  <si>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</si>
  <si>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</si>
  <si>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</si>
  <si>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</si>
  <si>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</si>
  <si>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</si>
  <si>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</si>
  <si>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2417883.25 </t>
  </si>
  <si>
    <t> 03.11.1907 18:00 </t>
  </si>
  <si>
    <t> -0.01 </t>
  </si>
  <si>
    <t>V </t>
  </si>
  <si>
    <t> S.Enebo </t>
  </si>
  <si>
    <t> AN 180.64 </t>
  </si>
  <si>
    <t>2419600.502 </t>
  </si>
  <si>
    <t> 17.07.1912 00:02 </t>
  </si>
  <si>
    <t> 0.004 </t>
  </si>
  <si>
    <t> R.Lehnert </t>
  </si>
  <si>
    <t> AN 194.166 </t>
  </si>
  <si>
    <t>2420661.4749 </t>
  </si>
  <si>
    <t> 12.06.1915 23:23 </t>
  </si>
  <si>
    <t> 0.3301 </t>
  </si>
  <si>
    <t> M.Maggini </t>
  </si>
  <si>
    <t> APJ 50.141 </t>
  </si>
  <si>
    <t>2424388.567 </t>
  </si>
  <si>
    <t> 26.08.1925 01:36 </t>
  </si>
  <si>
    <t> 0.006 </t>
  </si>
  <si>
    <t> J.Gadomski </t>
  </si>
  <si>
    <t> AAC 1.4 </t>
  </si>
  <si>
    <t>2425565.385 </t>
  </si>
  <si>
    <t> 14.11.1928 21:14 </t>
  </si>
  <si>
    <t> 0.010 </t>
  </si>
  <si>
    <t> J.Pagaczewski </t>
  </si>
  <si>
    <t> AA 6.110 </t>
  </si>
  <si>
    <t>2428464.486 </t>
  </si>
  <si>
    <t> 22.10.1936 23:39 </t>
  </si>
  <si>
    <t> S.Gaposchkin </t>
  </si>
  <si>
    <t> HA 113.77 </t>
  </si>
  <si>
    <t>2429232.12 </t>
  </si>
  <si>
    <t> 29.11.1938 14:52 </t>
  </si>
  <si>
    <t> -0.06 </t>
  </si>
  <si>
    <t> S.Szczyrbak </t>
  </si>
  <si>
    <t> SAC 17.65 </t>
  </si>
  <si>
    <t>2433040.411 </t>
  </si>
  <si>
    <t> 03.05.1949 21:51 </t>
  </si>
  <si>
    <t> 0.001 </t>
  </si>
  <si>
    <t> G.S.Filatov </t>
  </si>
  <si>
    <t> BTAD 35.36 </t>
  </si>
  <si>
    <t>2433651.554 </t>
  </si>
  <si>
    <t> 05.01.1951 01:17 </t>
  </si>
  <si>
    <t> 0.009 </t>
  </si>
  <si>
    <t> B.S.Whitney </t>
  </si>
  <si>
    <t> AJ 64.262 </t>
  </si>
  <si>
    <t>2433949.548 </t>
  </si>
  <si>
    <t> 30.10.1951 01:09 </t>
  </si>
  <si>
    <t> 0.012 </t>
  </si>
  <si>
    <t>2435035.431 </t>
  </si>
  <si>
    <t> 19.10.1954 22:20 </t>
  </si>
  <si>
    <t> -0.006 </t>
  </si>
  <si>
    <t> R.Szafraniec </t>
  </si>
  <si>
    <t> AAC 5.195 </t>
  </si>
  <si>
    <t>2435631.406 </t>
  </si>
  <si>
    <t> 06.06.1956 21:44 </t>
  </si>
  <si>
    <t> -0.014 </t>
  </si>
  <si>
    <t> AA 7.190 </t>
  </si>
  <si>
    <t>2435722.429 </t>
  </si>
  <si>
    <t> 05.09.1956 22:17 </t>
  </si>
  <si>
    <t> 0.097 </t>
  </si>
  <si>
    <t>P </t>
  </si>
  <si>
    <t> H.Huth </t>
  </si>
  <si>
    <t> MVS 3.121 </t>
  </si>
  <si>
    <t>2436025.463 </t>
  </si>
  <si>
    <t> 05.07.1957 23:06 </t>
  </si>
  <si>
    <t> 0.089 </t>
  </si>
  <si>
    <t>2436434.479 </t>
  </si>
  <si>
    <t> 18.08.1958 23:29 </t>
  </si>
  <si>
    <t> -0.002 </t>
  </si>
  <si>
    <t>2436459.740 </t>
  </si>
  <si>
    <t> 13.09.1958 05:45 </t>
  </si>
  <si>
    <t>2436540.556 </t>
  </si>
  <si>
    <t> 03.12.1958 01:20 </t>
  </si>
  <si>
    <t>2436727.390 </t>
  </si>
  <si>
    <t> 07.06.1959 21:21 </t>
  </si>
  <si>
    <t> -0.031 </t>
  </si>
  <si>
    <t> AA 10.70 </t>
  </si>
  <si>
    <t>2437934.427 </t>
  </si>
  <si>
    <t> 26.09.1962 22:14 </t>
  </si>
  <si>
    <t> -0.112 </t>
  </si>
  <si>
    <t>2438146.582 </t>
  </si>
  <si>
    <t> 27.04.1963 01:58 </t>
  </si>
  <si>
    <t> -0.086 </t>
  </si>
  <si>
    <t>2438232.513 </t>
  </si>
  <si>
    <t> 22.07.1963 00:18 </t>
  </si>
  <si>
    <t> -0.017 </t>
  </si>
  <si>
    <t> Voigtländer </t>
  </si>
  <si>
    <t> HABZ 15 </t>
  </si>
  <si>
    <t>2438237.532 </t>
  </si>
  <si>
    <t> 27.07.1963 00:46 </t>
  </si>
  <si>
    <t> -0.049 </t>
  </si>
  <si>
    <t>2438399.220 </t>
  </si>
  <si>
    <t> 04.01.1964 17:16 </t>
  </si>
  <si>
    <t> 0.017 </t>
  </si>
  <si>
    <t>2438525.557 </t>
  </si>
  <si>
    <t> 10.05.1964 01:22 </t>
  </si>
  <si>
    <t> 0.086 </t>
  </si>
  <si>
    <t>2438919.442 </t>
  </si>
  <si>
    <t> 07.06.1965 22:36 </t>
  </si>
  <si>
    <t> AA 16.158 </t>
  </si>
  <si>
    <t>2440419.467 </t>
  </si>
  <si>
    <t> 16.07.1969 23:12 </t>
  </si>
  <si>
    <t> -0.016 </t>
  </si>
  <si>
    <t> F.Kühnlenz </t>
  </si>
  <si>
    <t> MHAR 21 </t>
  </si>
  <si>
    <t>2441116.490 </t>
  </si>
  <si>
    <t> 13.06.1971 23:45 </t>
  </si>
  <si>
    <t> K.Locher </t>
  </si>
  <si>
    <t> ORI 125 </t>
  </si>
  <si>
    <t>2441601.341 </t>
  </si>
  <si>
    <t> 10.10.1972 20:11 </t>
  </si>
  <si>
    <t>2442303.381 </t>
  </si>
  <si>
    <t> 12.09.1974 21:08 </t>
  </si>
  <si>
    <t> -0.013 </t>
  </si>
  <si>
    <t> H.Busch </t>
  </si>
  <si>
    <t>2444495.374 </t>
  </si>
  <si>
    <t> 12.09.1980 20:58 </t>
  </si>
  <si>
    <t> -0.024 </t>
  </si>
  <si>
    <t> BBS 50 </t>
  </si>
  <si>
    <t>2444586.295 </t>
  </si>
  <si>
    <t> 12.12.1980 19:04 </t>
  </si>
  <si>
    <t> BBS 52 </t>
  </si>
  <si>
    <t>2444591.362 </t>
  </si>
  <si>
    <t> 17.12.1980 20:41 </t>
  </si>
  <si>
    <t>2444712.560 </t>
  </si>
  <si>
    <t> 18.04.1981 01:26 </t>
  </si>
  <si>
    <t> -0.018 </t>
  </si>
  <si>
    <t> BBS 54 </t>
  </si>
  <si>
    <t>2444808.550 </t>
  </si>
  <si>
    <t> 23.07.1981 01:12 </t>
  </si>
  <si>
    <t> 0.008 </t>
  </si>
  <si>
    <t> BBS 56 </t>
  </si>
  <si>
    <t>2445278.243 </t>
  </si>
  <si>
    <t> 04.11.1982 17:49 </t>
  </si>
  <si>
    <t> BBS 64 </t>
  </si>
  <si>
    <t>2445288.334 </t>
  </si>
  <si>
    <t> 14.11.1982 20:00 </t>
  </si>
  <si>
    <t> M.Kohl </t>
  </si>
  <si>
    <t>2446263.117 </t>
  </si>
  <si>
    <t> 16.07.1985 14:48 </t>
  </si>
  <si>
    <t> -0.026 </t>
  </si>
  <si>
    <t> T.Kato </t>
  </si>
  <si>
    <t>VSB 47 </t>
  </si>
  <si>
    <t>2446596.434 </t>
  </si>
  <si>
    <t> 14.06.1986 22:24 </t>
  </si>
  <si>
    <t> -0.055 </t>
  </si>
  <si>
    <t> U.Neumann </t>
  </si>
  <si>
    <t>BAVM 46 </t>
  </si>
  <si>
    <t>2446596.451 </t>
  </si>
  <si>
    <t> 14.06.1986 22:49 </t>
  </si>
  <si>
    <t> -0.038 </t>
  </si>
  <si>
    <t> W.Braune </t>
  </si>
  <si>
    <t>2447788.4243 </t>
  </si>
  <si>
    <t> 18.09.1989 22:10 </t>
  </si>
  <si>
    <t> -0.0302 </t>
  </si>
  <si>
    <t>E </t>
  </si>
  <si>
    <t>B;V</t>
  </si>
  <si>
    <t> F.Agerer </t>
  </si>
  <si>
    <t>BAVM 56 </t>
  </si>
  <si>
    <t>2451778.4495 </t>
  </si>
  <si>
    <t> 21.08.2000 22:47 </t>
  </si>
  <si>
    <t> -0.0580 </t>
  </si>
  <si>
    <t>?</t>
  </si>
  <si>
    <t> M.Zejda </t>
  </si>
  <si>
    <t>IBVS 5287 </t>
  </si>
  <si>
    <t>2452475.463 </t>
  </si>
  <si>
    <t> 19.07.2002 23:06 </t>
  </si>
  <si>
    <t> -0.041 </t>
  </si>
  <si>
    <t> R.Meyer </t>
  </si>
  <si>
    <t>BAVM 157 </t>
  </si>
  <si>
    <t>2452874.449 </t>
  </si>
  <si>
    <t> 22.08.2003 22:46 </t>
  </si>
  <si>
    <t> -0.060 </t>
  </si>
  <si>
    <t>BAVM 171 </t>
  </si>
  <si>
    <t>2452874.45907 </t>
  </si>
  <si>
    <t> 22.08.2003 23:01 </t>
  </si>
  <si>
    <t> -0.05033 </t>
  </si>
  <si>
    <t>C </t>
  </si>
  <si>
    <t> Motl et al. </t>
  </si>
  <si>
    <t>OEJV 0074 </t>
  </si>
  <si>
    <t>2454359.3461 </t>
  </si>
  <si>
    <t> 15.09.2007 20:18 </t>
  </si>
  <si>
    <t> -0.0691 </t>
  </si>
  <si>
    <t>-I</t>
  </si>
  <si>
    <t>BAVM 193 </t>
  </si>
  <si>
    <t>2454364.3994 </t>
  </si>
  <si>
    <t> 20.09.2007 21:35 </t>
  </si>
  <si>
    <t>3827</t>
  </si>
  <si>
    <t> -0.0665 </t>
  </si>
  <si>
    <t> F.Walter </t>
  </si>
  <si>
    <t>2456864.4933 </t>
  </si>
  <si>
    <t> 25.07.2014 23:50 </t>
  </si>
  <si>
    <t>4322</t>
  </si>
  <si>
    <t>BAVM 238 </t>
  </si>
  <si>
    <t>2457258.4541 </t>
  </si>
  <si>
    <t> 23.08.2015 22:53 </t>
  </si>
  <si>
    <t>4400</t>
  </si>
  <si>
    <t> -0.0629 </t>
  </si>
  <si>
    <t> H.Braunwarth </t>
  </si>
  <si>
    <t>BAVM 241 (=IBVS 6157) </t>
  </si>
  <si>
    <t>Add cycle</t>
  </si>
  <si>
    <t>Old Cycle</t>
  </si>
  <si>
    <t>BAD?</t>
  </si>
  <si>
    <t>IBVS 6196</t>
  </si>
  <si>
    <t>JAVSO 49, 108</t>
  </si>
  <si>
    <t>JAAVSO 51, 138</t>
  </si>
  <si>
    <t>VSX</t>
  </si>
  <si>
    <t>Next ToM-P</t>
  </si>
  <si>
    <t>Next ToM-S</t>
  </si>
  <si>
    <t xml:space="preserve">Mag </t>
  </si>
  <si>
    <t>10.0-11.4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</si>
</sst>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6" fillId="25" borderId="18" xfId="0" applyFont="1" applyFill="1" applyBorder="1" applyAlignment="1">
      <alignment horizontal="right" vertical="top"/>
    </xf>
    <xf numFmtId="0" fontId="6" fillId="25" borderId="19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right"/>
    </xf>
    <xf numFmtId="0" fontId="39" fillId="0" borderId="21" xfId="0" applyFont="1" applyBorder="1" applyAlignment="1"/>
    <xf numFmtId="0" fontId="38" fillId="0" borderId="21" xfId="0" applyFont="1" applyBorder="1" applyAlignment="1"/>
    <xf numFmtId="0" fontId="37" fillId="0" borderId="20" xfId="0" applyFont="1" applyBorder="1" applyAlignment="1">
      <alignment horizontal="right" vertical="top"/>
    </xf>
    <xf numFmtId="0" fontId="38" fillId="0" borderId="21" xfId="0" applyFont="1" applyBorder="1">
      <alignment vertical="top"/>
    </xf>
    <xf numFmtId="22" fontId="38" fillId="0" borderId="21" xfId="0" applyNumberFormat="1" applyFont="1" applyBorder="1">
      <alignment vertical="top"/>
    </xf>
    <xf numFmtId="22" fontId="38" fillId="0" borderId="22" xfId="0" applyNumberFormat="1" applyFont="1" applyBorder="1" applyAlignment="1"/>
    <xf numFmtId="0" fontId="37" fillId="0" borderId="23" xfId="0" applyFont="1" applyBorder="1" applyAlignment="1">
      <alignment horizontal="right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Vul - O-C Diagr.</a:t>
            </a:r>
          </a:p>
        </c:rich>
      </c:tx>
      <c:layout>
        <c:manualLayout>
          <c:xMode val="edge"/>
          <c:yMode val="edge"/>
          <c:x val="0.386259862555348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5124519266251"/>
          <c:y val="0.14769252958613219"/>
          <c:w val="0.81984793941431555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-9.7999999998137355E-3</c:v>
                </c:pt>
                <c:pt idx="1">
                  <c:v>4.2000000030384399E-3</c:v>
                </c:pt>
                <c:pt idx="3">
                  <c:v>5.6000000004132744E-3</c:v>
                </c:pt>
                <c:pt idx="4">
                  <c:v>1.0500000000320142E-2</c:v>
                </c:pt>
                <c:pt idx="5">
                  <c:v>9.700000002339948E-3</c:v>
                </c:pt>
                <c:pt idx="6">
                  <c:v>-6.2699999998585554E-2</c:v>
                </c:pt>
                <c:pt idx="7">
                  <c:v>5.0000000192085281E-4</c:v>
                </c:pt>
                <c:pt idx="8">
                  <c:v>8.7999999959720299E-3</c:v>
                </c:pt>
                <c:pt idx="9">
                  <c:v>1.1500000007799827E-2</c:v>
                </c:pt>
                <c:pt idx="10">
                  <c:v>-6.0000000012223609E-3</c:v>
                </c:pt>
                <c:pt idx="11">
                  <c:v>0</c:v>
                </c:pt>
                <c:pt idx="12">
                  <c:v>-1.359999999840511E-2</c:v>
                </c:pt>
                <c:pt idx="13">
                  <c:v>9.6799999999348074E-2</c:v>
                </c:pt>
                <c:pt idx="14">
                  <c:v>8.8800000004994217E-2</c:v>
                </c:pt>
                <c:pt idx="15">
                  <c:v>-1.8999999956577085E-3</c:v>
                </c:pt>
                <c:pt idx="16">
                  <c:v>5.5999999967752956E-3</c:v>
                </c:pt>
                <c:pt idx="17">
                  <c:v>1.0399999999208376E-2</c:v>
                </c:pt>
                <c:pt idx="18">
                  <c:v>-3.1499999997322448E-2</c:v>
                </c:pt>
                <c:pt idx="19">
                  <c:v>-0.11179999999149004</c:v>
                </c:pt>
                <c:pt idx="20">
                  <c:v>-8.6199999997916166E-2</c:v>
                </c:pt>
                <c:pt idx="21">
                  <c:v>-1.7099999997299165E-2</c:v>
                </c:pt>
                <c:pt idx="22">
                  <c:v>-4.8799999996845145E-2</c:v>
                </c:pt>
                <c:pt idx="23">
                  <c:v>1.6800000004877802E-2</c:v>
                </c:pt>
                <c:pt idx="24">
                  <c:v>8.6300000002665911E-2</c:v>
                </c:pt>
                <c:pt idx="25">
                  <c:v>1.6700000007404014E-2</c:v>
                </c:pt>
                <c:pt idx="26">
                  <c:v>-1.6199999998207204E-2</c:v>
                </c:pt>
                <c:pt idx="28">
                  <c:v>-5.9999999939464033E-3</c:v>
                </c:pt>
                <c:pt idx="29">
                  <c:v>-1.329999999870779E-2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E5-44FE-BFFF-8D5D3CEE17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7">
                  <c:v>1.0199999996984843E-2</c:v>
                </c:pt>
                <c:pt idx="30">
                  <c:v>-2.4099999995087273E-2</c:v>
                </c:pt>
                <c:pt idx="31">
                  <c:v>-1.5700000003562309E-2</c:v>
                </c:pt>
                <c:pt idx="32">
                  <c:v>6.0000000667059794E-4</c:v>
                </c:pt>
                <c:pt idx="33">
                  <c:v>-1.8199999998614658E-2</c:v>
                </c:pt>
                <c:pt idx="34">
                  <c:v>8.5000000035506673E-3</c:v>
                </c:pt>
                <c:pt idx="35">
                  <c:v>-1.359999999840511E-2</c:v>
                </c:pt>
                <c:pt idx="36">
                  <c:v>-2.3999999997613486E-2</c:v>
                </c:pt>
                <c:pt idx="37">
                  <c:v>-2.6100000002770685E-2</c:v>
                </c:pt>
                <c:pt idx="38">
                  <c:v>-5.5299999999988358E-2</c:v>
                </c:pt>
                <c:pt idx="39">
                  <c:v>-3.8300000000162981E-2</c:v>
                </c:pt>
                <c:pt idx="43">
                  <c:v>-4.109999999491265E-2</c:v>
                </c:pt>
                <c:pt idx="44">
                  <c:v>-6.0399999994842801E-2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E5-44FE-BFFF-8D5D3CEE17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0">
                  <c:v>-3.0200000001059379E-2</c:v>
                </c:pt>
                <c:pt idx="41">
                  <c:v>-2.9999999998835847E-2</c:v>
                </c:pt>
                <c:pt idx="42">
                  <c:v>-5.799999999726424E-2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E5-44FE-BFFF-8D5D3CEE17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5">
                  <c:v>-5.0329999998211861E-2</c:v>
                </c:pt>
                <c:pt idx="46">
                  <c:v>-6.9100000000617001E-2</c:v>
                </c:pt>
                <c:pt idx="47">
                  <c:v>-6.649999999353895E-2</c:v>
                </c:pt>
                <c:pt idx="48">
                  <c:v>-6.9099999993341044E-2</c:v>
                </c:pt>
                <c:pt idx="49">
                  <c:v>-6.289999998989515E-2</c:v>
                </c:pt>
                <c:pt idx="50">
                  <c:v>-5.7499999995343387E-2</c:v>
                </c:pt>
                <c:pt idx="51">
                  <c:v>-8.0500000003667083E-2</c:v>
                </c:pt>
                <c:pt idx="52">
                  <c:v>-6.4799999992828816E-2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E5-44FE-BFFF-8D5D3CEE17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E5-44FE-BFFF-8D5D3CEE17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E5-44FE-BFFF-8D5D3CEE17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E5-44FE-BFFF-8D5D3CEE17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6.1703957779617791E-2</c:v>
                </c:pt>
                <c:pt idx="1">
                  <c:v>5.6075123336805067E-2</c:v>
                </c:pt>
                <c:pt idx="2">
                  <c:v>5.2598490298597207E-2</c:v>
                </c:pt>
                <c:pt idx="3">
                  <c:v>4.0380608478609595E-2</c:v>
                </c:pt>
                <c:pt idx="4">
                  <c:v>3.6523201345740879E-2</c:v>
                </c:pt>
                <c:pt idx="5">
                  <c:v>2.7020404374639404E-2</c:v>
                </c:pt>
                <c:pt idx="6">
                  <c:v>2.4503984270793717E-2</c:v>
                </c:pt>
                <c:pt idx="7">
                  <c:v>1.2021216124085505E-2</c:v>
                </c:pt>
                <c:pt idx="8">
                  <c:v>1.0018013278260978E-2</c:v>
                </c:pt>
                <c:pt idx="9">
                  <c:v>9.0412449484787698E-3</c:v>
                </c:pt>
                <c:pt idx="10">
                  <c:v>5.4818349331707261E-3</c:v>
                </c:pt>
                <c:pt idx="11">
                  <c:v>5.4818349331707261E-3</c:v>
                </c:pt>
                <c:pt idx="12">
                  <c:v>3.5282982736063112E-3</c:v>
                </c:pt>
                <c:pt idx="13">
                  <c:v>3.2303011560456379E-3</c:v>
                </c:pt>
                <c:pt idx="14">
                  <c:v>2.2369774308433929E-3</c:v>
                </c:pt>
                <c:pt idx="15">
                  <c:v>8.9599040182036186E-4</c:v>
                </c:pt>
                <c:pt idx="16">
                  <c:v>8.1321342472017496E-4</c:v>
                </c:pt>
                <c:pt idx="17">
                  <c:v>5.483270979995767E-4</c:v>
                </c:pt>
                <c:pt idx="18">
                  <c:v>-6.4222532541807591E-5</c:v>
                </c:pt>
                <c:pt idx="19">
                  <c:v>-4.02096203793075E-3</c:v>
                </c:pt>
                <c:pt idx="20">
                  <c:v>-4.7162886455723221E-3</c:v>
                </c:pt>
                <c:pt idx="21">
                  <c:v>-4.9977303677129579E-3</c:v>
                </c:pt>
                <c:pt idx="22">
                  <c:v>-5.0142857631329946E-3</c:v>
                </c:pt>
                <c:pt idx="23">
                  <c:v>-5.5440584165741928E-3</c:v>
                </c:pt>
                <c:pt idx="24">
                  <c:v>-5.9579433020751273E-3</c:v>
                </c:pt>
                <c:pt idx="25">
                  <c:v>-7.2492641448380461E-3</c:v>
                </c:pt>
                <c:pt idx="26">
                  <c:v>-1.2166216584589159E-2</c:v>
                </c:pt>
                <c:pt idx="27">
                  <c:v>-1.4450861152554322E-2</c:v>
                </c:pt>
                <c:pt idx="28">
                  <c:v>-1.6040179112877914E-2</c:v>
                </c:pt>
                <c:pt idx="29">
                  <c:v>-1.8341379076263115E-2</c:v>
                </c:pt>
                <c:pt idx="30">
                  <c:v>-2.5526420688559353E-2</c:v>
                </c:pt>
                <c:pt idx="31">
                  <c:v>-2.5824417806120027E-2</c:v>
                </c:pt>
                <c:pt idx="32">
                  <c:v>-2.5840973201540066E-2</c:v>
                </c:pt>
                <c:pt idx="33">
                  <c:v>-2.623830269162096E-2</c:v>
                </c:pt>
                <c:pt idx="34">
                  <c:v>-2.6552855204601669E-2</c:v>
                </c:pt>
                <c:pt idx="35">
                  <c:v>-2.8092506978665152E-2</c:v>
                </c:pt>
                <c:pt idx="36">
                  <c:v>-2.8125617769505229E-2</c:v>
                </c:pt>
                <c:pt idx="37">
                  <c:v>-3.132080908557245E-2</c:v>
                </c:pt>
                <c:pt idx="38">
                  <c:v>-3.2413465183294916E-2</c:v>
                </c:pt>
                <c:pt idx="39">
                  <c:v>-3.2413465183294916E-2</c:v>
                </c:pt>
                <c:pt idx="40">
                  <c:v>-3.6320538502423748E-2</c:v>
                </c:pt>
                <c:pt idx="41">
                  <c:v>-3.6320538502423748E-2</c:v>
                </c:pt>
                <c:pt idx="42">
                  <c:v>-4.9399300884253303E-2</c:v>
                </c:pt>
                <c:pt idx="43">
                  <c:v>-5.1683945452218466E-2</c:v>
                </c:pt>
                <c:pt idx="44">
                  <c:v>-5.2991821690401425E-2</c:v>
                </c:pt>
                <c:pt idx="45">
                  <c:v>-5.2991821690401425E-2</c:v>
                </c:pt>
                <c:pt idx="46">
                  <c:v>-5.7859107943892429E-2</c:v>
                </c:pt>
                <c:pt idx="47">
                  <c:v>-5.7875663339312461E-2</c:v>
                </c:pt>
                <c:pt idx="48">
                  <c:v>-6.6070584072230987E-2</c:v>
                </c:pt>
                <c:pt idx="49">
                  <c:v>-6.73619049149939E-2</c:v>
                </c:pt>
                <c:pt idx="50">
                  <c:v>-6.7328794124153823E-2</c:v>
                </c:pt>
                <c:pt idx="51">
                  <c:v>-7.3321847266207371E-2</c:v>
                </c:pt>
                <c:pt idx="52">
                  <c:v>-7.5838267370053059E-2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E5-44FE-BFFF-8D5D3CEE17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0.330100000002858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E5-44FE-BFFF-8D5D3CEE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664"/>
        <c:axId val="1"/>
      </c:scatterChart>
      <c:valAx>
        <c:axId val="84686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6444270802026"/>
              <c:y val="0.881026933171814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54961832061068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72535112500249"/>
          <c:y val="0.93641154855643027"/>
          <c:w val="0.7557258319809260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29EA90-2327-E5E4-96DF-31B018EBC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bav-astro.de/sfs/BAVM_link.php?BAVMnr=46" TargetMode="External"/><Relationship Id="rId7" Type="http://schemas.openxmlformats.org/officeDocument/2006/relationships/hyperlink" Target="http://www.bav-astro.de/sfs/BAVM_link.php?BAVMnr=171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46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157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87" TargetMode="External"/><Relationship Id="rId10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3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12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11" t="s">
        <v>44</v>
      </c>
    </row>
    <row r="4" spans="1:6" ht="14.25" thickTop="1" thickBot="1" x14ac:dyDescent="0.25">
      <c r="A4" s="6" t="s">
        <v>0</v>
      </c>
      <c r="C4" s="3">
        <v>35035.436999999998</v>
      </c>
      <c r="D4" s="4">
        <v>5.0507</v>
      </c>
    </row>
    <row r="5" spans="1:6" ht="13.5" thickTop="1" x14ac:dyDescent="0.2">
      <c r="A5" s="12" t="s">
        <v>46</v>
      </c>
      <c r="B5" s="13"/>
      <c r="C5" s="14">
        <v>-9.5</v>
      </c>
      <c r="D5" s="13" t="s">
        <v>47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35035.436999999998</v>
      </c>
      <c r="D7" s="59" t="s">
        <v>274</v>
      </c>
    </row>
    <row r="8" spans="1:6" x14ac:dyDescent="0.2">
      <c r="A8" t="s">
        <v>3</v>
      </c>
      <c r="C8">
        <f>+D4</f>
        <v>5.0507</v>
      </c>
      <c r="D8" s="59" t="s">
        <v>274</v>
      </c>
    </row>
    <row r="9" spans="1:6" x14ac:dyDescent="0.2">
      <c r="A9" s="27" t="s">
        <v>50</v>
      </c>
      <c r="B9" s="28">
        <v>56</v>
      </c>
      <c r="C9" s="17" t="str">
        <f>"F"&amp;B9</f>
        <v>F56</v>
      </c>
      <c r="D9" s="18" t="str">
        <f>"G"&amp;B9</f>
        <v>G56</v>
      </c>
    </row>
    <row r="10" spans="1:6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6" x14ac:dyDescent="0.2">
      <c r="A11" s="13" t="s">
        <v>16</v>
      </c>
      <c r="B11" s="13"/>
      <c r="C11" s="15">
        <f ca="1">INTERCEPT(INDIRECT($D$9):G991,INDIRECT($C$9):F991)</f>
        <v>5.4818349331707261E-3</v>
      </c>
      <c r="D11" s="16"/>
      <c r="E11" s="13"/>
    </row>
    <row r="12" spans="1:6" x14ac:dyDescent="0.2">
      <c r="A12" s="13" t="s">
        <v>17</v>
      </c>
      <c r="B12" s="13"/>
      <c r="C12" s="15">
        <f ca="1">SLOPE(INDIRECT($D$9):G991,INDIRECT($C$9):F991)</f>
        <v>-1.6555395420037415E-5</v>
      </c>
      <c r="D12" s="16"/>
      <c r="E12" s="66" t="s">
        <v>277</v>
      </c>
      <c r="F12" s="67" t="s">
        <v>278</v>
      </c>
    </row>
    <row r="13" spans="1:6" x14ac:dyDescent="0.2">
      <c r="A13" s="13" t="s">
        <v>19</v>
      </c>
      <c r="B13" s="13"/>
      <c r="C13" s="16" t="s">
        <v>14</v>
      </c>
      <c r="E13" s="68" t="s">
        <v>268</v>
      </c>
      <c r="F13" s="69">
        <v>1</v>
      </c>
    </row>
    <row r="14" spans="1:6" x14ac:dyDescent="0.2">
      <c r="A14" s="13"/>
      <c r="B14" s="13"/>
      <c r="C14" s="13"/>
      <c r="E14" s="68" t="s">
        <v>48</v>
      </c>
      <c r="F14" s="70">
        <f ca="1">NOW()+15018.5+$C$5/24</f>
        <v>60520.723272800926</v>
      </c>
    </row>
    <row r="15" spans="1:6" x14ac:dyDescent="0.2">
      <c r="A15" s="19" t="s">
        <v>18</v>
      </c>
      <c r="B15" s="13"/>
      <c r="C15" s="20">
        <f ca="1">(C7+C11)+(C8+C12)*INT(MAX(F21:F3532))</f>
        <v>59844.399561732629</v>
      </c>
      <c r="E15" s="71" t="s">
        <v>269</v>
      </c>
      <c r="F15" s="72">
        <f ca="1">ROUND(2*(F14-$C$7)/$C$8,0)/2+F13</f>
        <v>5047</v>
      </c>
    </row>
    <row r="16" spans="1:6" x14ac:dyDescent="0.2">
      <c r="A16" s="22" t="s">
        <v>4</v>
      </c>
      <c r="B16" s="13"/>
      <c r="C16" s="23">
        <f ca="1">+C8+C12</f>
        <v>5.0506834446045801</v>
      </c>
      <c r="E16" s="71" t="s">
        <v>49</v>
      </c>
      <c r="F16" s="72">
        <f ca="1">ROUND(2*(F14-$C$15)/$C$16,0)/2+F13</f>
        <v>135</v>
      </c>
    </row>
    <row r="17" spans="1:21" ht="13.5" thickBot="1" x14ac:dyDescent="0.25">
      <c r="A17" s="21" t="s">
        <v>43</v>
      </c>
      <c r="B17" s="13"/>
      <c r="C17" s="13">
        <f>COUNT(C21:C2190)</f>
        <v>53</v>
      </c>
      <c r="E17" s="71" t="s">
        <v>275</v>
      </c>
      <c r="F17" s="73">
        <f ca="1">+$C$15+$C$16*$F$16-15018.5-$C$5/24</f>
        <v>45508.137660087581</v>
      </c>
    </row>
    <row r="18" spans="1:21" ht="14.25" thickTop="1" thickBot="1" x14ac:dyDescent="0.25">
      <c r="A18" s="22" t="s">
        <v>5</v>
      </c>
      <c r="B18" s="13"/>
      <c r="C18" s="25">
        <f ca="1">+C15</f>
        <v>59844.399561732629</v>
      </c>
      <c r="D18" s="26">
        <f ca="1">+C16</f>
        <v>5.0506834446045801</v>
      </c>
      <c r="E18" s="75" t="s">
        <v>276</v>
      </c>
      <c r="F18" s="74">
        <f ca="1">+($C$15+$C$16*$F$16)-($C$15/2)-15018.5-$C$5/24</f>
        <v>15585.937879221265</v>
      </c>
    </row>
    <row r="19" spans="1:21" ht="13.5" thickTop="1" x14ac:dyDescent="0.2">
      <c r="E19" s="21"/>
      <c r="F19" s="24"/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63</v>
      </c>
      <c r="I20" s="8" t="s">
        <v>66</v>
      </c>
      <c r="J20" s="8" t="s">
        <v>60</v>
      </c>
      <c r="K20" s="8" t="s">
        <v>58</v>
      </c>
      <c r="L20" s="8" t="s">
        <v>53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48" t="s">
        <v>270</v>
      </c>
    </row>
    <row r="21" spans="1:21" x14ac:dyDescent="0.2">
      <c r="A21" s="45" t="s">
        <v>73</v>
      </c>
      <c r="B21" s="47" t="s">
        <v>42</v>
      </c>
      <c r="C21" s="46">
        <v>17883.25</v>
      </c>
      <c r="D21" s="10"/>
      <c r="E21">
        <f t="shared" ref="E21:E52" si="0">+(C21-C$7)/C$8</f>
        <v>-3396.0019403251031</v>
      </c>
      <c r="F21">
        <f t="shared" ref="F21:F52" si="1">ROUND(2*E21,0)/2</f>
        <v>-3396</v>
      </c>
      <c r="G21">
        <f>+C21-(C$7+F21*C$8)</f>
        <v>-9.7999999998137355E-3</v>
      </c>
      <c r="H21">
        <f>+G21</f>
        <v>-9.7999999998137355E-3</v>
      </c>
      <c r="O21">
        <f t="shared" ref="O21:O52" ca="1" si="2">+C$11+C$12*$F21</f>
        <v>6.1703957779617791E-2</v>
      </c>
      <c r="Q21" s="2">
        <f t="shared" ref="Q21:Q52" si="3">+C21-15018.5</f>
        <v>2864.75</v>
      </c>
    </row>
    <row r="22" spans="1:21" x14ac:dyDescent="0.2">
      <c r="A22" s="45" t="s">
        <v>78</v>
      </c>
      <c r="B22" s="47" t="s">
        <v>42</v>
      </c>
      <c r="C22" s="46">
        <v>19600.502</v>
      </c>
      <c r="D22" s="10"/>
      <c r="E22">
        <f t="shared" si="0"/>
        <v>-3055.999168432098</v>
      </c>
      <c r="F22">
        <f t="shared" si="1"/>
        <v>-3056</v>
      </c>
      <c r="G22">
        <f>+C22-(C$7+F22*C$8)</f>
        <v>4.2000000030384399E-3</v>
      </c>
      <c r="H22">
        <f>+G22</f>
        <v>4.2000000030384399E-3</v>
      </c>
      <c r="O22">
        <f t="shared" ca="1" si="2"/>
        <v>5.6075123336805067E-2</v>
      </c>
      <c r="Q22" s="2">
        <f t="shared" si="3"/>
        <v>4582.0020000000004</v>
      </c>
    </row>
    <row r="23" spans="1:21" x14ac:dyDescent="0.2">
      <c r="A23" s="45" t="s">
        <v>83</v>
      </c>
      <c r="B23" s="47" t="s">
        <v>42</v>
      </c>
      <c r="C23" s="46">
        <v>20661.474900000001</v>
      </c>
      <c r="D23" s="10"/>
      <c r="E23">
        <f t="shared" si="0"/>
        <v>-2845.9346427227902</v>
      </c>
      <c r="F23">
        <f t="shared" si="1"/>
        <v>-2846</v>
      </c>
      <c r="O23">
        <f t="shared" ca="1" si="2"/>
        <v>5.2598490298597207E-2</v>
      </c>
      <c r="Q23" s="2">
        <f t="shared" si="3"/>
        <v>5642.9749000000011</v>
      </c>
      <c r="U23">
        <f>+C23-(C$7+F23*C$8)</f>
        <v>0.330100000002858</v>
      </c>
    </row>
    <row r="24" spans="1:21" x14ac:dyDescent="0.2">
      <c r="A24" s="45" t="s">
        <v>88</v>
      </c>
      <c r="B24" s="47" t="s">
        <v>42</v>
      </c>
      <c r="C24" s="46">
        <v>24388.566999999999</v>
      </c>
      <c r="D24" s="10"/>
      <c r="E24">
        <f t="shared" si="0"/>
        <v>-2107.998891242798</v>
      </c>
      <c r="F24">
        <f t="shared" si="1"/>
        <v>-2108</v>
      </c>
      <c r="G24">
        <f t="shared" ref="G24:G70" si="4">+C24-(C$7+F24*C$8)</f>
        <v>5.6000000004132744E-3</v>
      </c>
      <c r="H24">
        <f t="shared" ref="H24:H47" si="5">+G24</f>
        <v>5.6000000004132744E-3</v>
      </c>
      <c r="O24">
        <f t="shared" ca="1" si="2"/>
        <v>4.0380608478609595E-2</v>
      </c>
      <c r="Q24" s="2">
        <f t="shared" si="3"/>
        <v>9370.0669999999991</v>
      </c>
    </row>
    <row r="25" spans="1:21" x14ac:dyDescent="0.2">
      <c r="A25" s="45" t="s">
        <v>93</v>
      </c>
      <c r="B25" s="47" t="s">
        <v>42</v>
      </c>
      <c r="C25" s="46">
        <v>25565.384999999998</v>
      </c>
      <c r="D25" s="10"/>
      <c r="E25">
        <f t="shared" si="0"/>
        <v>-1874.9979210802462</v>
      </c>
      <c r="F25">
        <f t="shared" si="1"/>
        <v>-1875</v>
      </c>
      <c r="G25">
        <f t="shared" si="4"/>
        <v>1.0500000000320142E-2</v>
      </c>
      <c r="H25">
        <f t="shared" si="5"/>
        <v>1.0500000000320142E-2</v>
      </c>
      <c r="O25">
        <f t="shared" ca="1" si="2"/>
        <v>3.6523201345740879E-2</v>
      </c>
      <c r="Q25" s="2">
        <f t="shared" si="3"/>
        <v>10546.884999999998</v>
      </c>
    </row>
    <row r="26" spans="1:21" x14ac:dyDescent="0.2">
      <c r="A26" s="45" t="s">
        <v>97</v>
      </c>
      <c r="B26" s="47" t="s">
        <v>42</v>
      </c>
      <c r="C26" s="46">
        <v>28464.486000000001</v>
      </c>
      <c r="D26" s="10"/>
      <c r="E26">
        <f t="shared" si="0"/>
        <v>-1300.9980794741318</v>
      </c>
      <c r="F26">
        <f t="shared" si="1"/>
        <v>-1301</v>
      </c>
      <c r="G26">
        <f t="shared" si="4"/>
        <v>9.700000002339948E-3</v>
      </c>
      <c r="H26">
        <f t="shared" si="5"/>
        <v>9.700000002339948E-3</v>
      </c>
      <c r="O26">
        <f t="shared" ca="1" si="2"/>
        <v>2.7020404374639404E-2</v>
      </c>
      <c r="Q26" s="2">
        <f t="shared" si="3"/>
        <v>13445.986000000001</v>
      </c>
    </row>
    <row r="27" spans="1:21" x14ac:dyDescent="0.2">
      <c r="A27" s="45" t="s">
        <v>102</v>
      </c>
      <c r="B27" s="47" t="s">
        <v>42</v>
      </c>
      <c r="C27" s="46">
        <v>29232.12</v>
      </c>
      <c r="D27" s="10"/>
      <c r="E27">
        <f t="shared" si="0"/>
        <v>-1149.0124141208148</v>
      </c>
      <c r="F27">
        <f t="shared" si="1"/>
        <v>-1149</v>
      </c>
      <c r="G27">
        <f t="shared" si="4"/>
        <v>-6.2699999998585554E-2</v>
      </c>
      <c r="H27">
        <f t="shared" si="5"/>
        <v>-6.2699999998585554E-2</v>
      </c>
      <c r="O27">
        <f t="shared" ca="1" si="2"/>
        <v>2.4503984270793717E-2</v>
      </c>
      <c r="Q27" s="2">
        <f t="shared" si="3"/>
        <v>14213.619999999999</v>
      </c>
    </row>
    <row r="28" spans="1:21" x14ac:dyDescent="0.2">
      <c r="A28" s="45" t="s">
        <v>107</v>
      </c>
      <c r="B28" s="47" t="s">
        <v>42</v>
      </c>
      <c r="C28" s="46">
        <v>33040.411</v>
      </c>
      <c r="D28" s="10"/>
      <c r="E28">
        <f t="shared" si="0"/>
        <v>-394.99990100382087</v>
      </c>
      <c r="F28">
        <f t="shared" si="1"/>
        <v>-395</v>
      </c>
      <c r="G28">
        <f t="shared" si="4"/>
        <v>5.0000000192085281E-4</v>
      </c>
      <c r="H28">
        <f t="shared" si="5"/>
        <v>5.0000000192085281E-4</v>
      </c>
      <c r="O28">
        <f t="shared" ca="1" si="2"/>
        <v>1.2021216124085505E-2</v>
      </c>
      <c r="Q28" s="2">
        <f t="shared" si="3"/>
        <v>18021.911</v>
      </c>
    </row>
    <row r="29" spans="1:21" x14ac:dyDescent="0.2">
      <c r="A29" s="45" t="s">
        <v>112</v>
      </c>
      <c r="B29" s="47" t="s">
        <v>42</v>
      </c>
      <c r="C29" s="46">
        <v>33651.553999999996</v>
      </c>
      <c r="D29" s="10"/>
      <c r="E29">
        <f t="shared" si="0"/>
        <v>-273.99825766725439</v>
      </c>
      <c r="F29">
        <f t="shared" si="1"/>
        <v>-274</v>
      </c>
      <c r="G29">
        <f t="shared" si="4"/>
        <v>8.7999999959720299E-3</v>
      </c>
      <c r="H29">
        <f t="shared" si="5"/>
        <v>8.7999999959720299E-3</v>
      </c>
      <c r="O29">
        <f t="shared" ca="1" si="2"/>
        <v>1.0018013278260978E-2</v>
      </c>
      <c r="Q29" s="2">
        <f t="shared" si="3"/>
        <v>18633.053999999996</v>
      </c>
    </row>
    <row r="30" spans="1:21" x14ac:dyDescent="0.2">
      <c r="A30" s="45" t="s">
        <v>112</v>
      </c>
      <c r="B30" s="47" t="s">
        <v>42</v>
      </c>
      <c r="C30" s="46">
        <v>33949.548000000003</v>
      </c>
      <c r="D30" s="10"/>
      <c r="E30">
        <f t="shared" si="0"/>
        <v>-214.99772308788792</v>
      </c>
      <c r="F30">
        <f t="shared" si="1"/>
        <v>-215</v>
      </c>
      <c r="G30">
        <f t="shared" si="4"/>
        <v>1.1500000007799827E-2</v>
      </c>
      <c r="H30">
        <f t="shared" si="5"/>
        <v>1.1500000007799827E-2</v>
      </c>
      <c r="O30">
        <f t="shared" ca="1" si="2"/>
        <v>9.0412449484787698E-3</v>
      </c>
      <c r="Q30" s="2">
        <f t="shared" si="3"/>
        <v>18931.048000000003</v>
      </c>
    </row>
    <row r="31" spans="1:21" x14ac:dyDescent="0.2">
      <c r="A31" s="45" t="s">
        <v>120</v>
      </c>
      <c r="B31" s="47" t="s">
        <v>42</v>
      </c>
      <c r="C31" s="46">
        <v>35035.430999999997</v>
      </c>
      <c r="D31" s="10"/>
      <c r="E31">
        <f t="shared" si="0"/>
        <v>-1.1879541452120223E-3</v>
      </c>
      <c r="F31">
        <f t="shared" si="1"/>
        <v>0</v>
      </c>
      <c r="G31">
        <f t="shared" si="4"/>
        <v>-6.0000000012223609E-3</v>
      </c>
      <c r="H31">
        <f t="shared" si="5"/>
        <v>-6.0000000012223609E-3</v>
      </c>
      <c r="O31">
        <f t="shared" ca="1" si="2"/>
        <v>5.4818349331707261E-3</v>
      </c>
      <c r="Q31" s="2">
        <f t="shared" si="3"/>
        <v>20016.930999999997</v>
      </c>
    </row>
    <row r="32" spans="1:21" x14ac:dyDescent="0.2">
      <c r="A32" t="s">
        <v>12</v>
      </c>
      <c r="C32" s="29">
        <v>35035.436999999998</v>
      </c>
      <c r="D32" s="29" t="s">
        <v>14</v>
      </c>
      <c r="E32">
        <f t="shared" si="0"/>
        <v>0</v>
      </c>
      <c r="F32">
        <f t="shared" si="1"/>
        <v>0</v>
      </c>
      <c r="G32">
        <f t="shared" si="4"/>
        <v>0</v>
      </c>
      <c r="H32">
        <f t="shared" si="5"/>
        <v>0</v>
      </c>
      <c r="O32">
        <f t="shared" ca="1" si="2"/>
        <v>5.4818349331707261E-3</v>
      </c>
      <c r="Q32" s="2">
        <f t="shared" si="3"/>
        <v>20016.936999999998</v>
      </c>
    </row>
    <row r="33" spans="1:31" x14ac:dyDescent="0.2">
      <c r="A33" s="45" t="s">
        <v>124</v>
      </c>
      <c r="B33" s="47" t="s">
        <v>42</v>
      </c>
      <c r="C33" s="46">
        <v>35631.406000000003</v>
      </c>
      <c r="D33" s="10"/>
      <c r="E33">
        <f t="shared" si="0"/>
        <v>117.99730730393898</v>
      </c>
      <c r="F33">
        <f t="shared" si="1"/>
        <v>118</v>
      </c>
      <c r="G33">
        <f t="shared" si="4"/>
        <v>-1.359999999840511E-2</v>
      </c>
      <c r="H33">
        <f t="shared" si="5"/>
        <v>-1.359999999840511E-2</v>
      </c>
      <c r="O33">
        <f t="shared" ca="1" si="2"/>
        <v>3.5282982736063112E-3</v>
      </c>
      <c r="Q33" s="2">
        <f t="shared" si="3"/>
        <v>20612.906000000003</v>
      </c>
    </row>
    <row r="34" spans="1:31" x14ac:dyDescent="0.2">
      <c r="A34" s="45" t="s">
        <v>130</v>
      </c>
      <c r="B34" s="47" t="s">
        <v>42</v>
      </c>
      <c r="C34" s="46">
        <v>35722.428999999996</v>
      </c>
      <c r="D34" s="10"/>
      <c r="E34">
        <f t="shared" si="0"/>
        <v>136.0191656602052</v>
      </c>
      <c r="F34">
        <f t="shared" si="1"/>
        <v>136</v>
      </c>
      <c r="G34">
        <f t="shared" si="4"/>
        <v>9.6799999999348074E-2</v>
      </c>
      <c r="H34">
        <f t="shared" si="5"/>
        <v>9.6799999999348074E-2</v>
      </c>
      <c r="O34">
        <f t="shared" ca="1" si="2"/>
        <v>3.2303011560456379E-3</v>
      </c>
      <c r="Q34" s="2">
        <f t="shared" si="3"/>
        <v>20703.928999999996</v>
      </c>
    </row>
    <row r="35" spans="1:31" x14ac:dyDescent="0.2">
      <c r="A35" s="45" t="s">
        <v>130</v>
      </c>
      <c r="B35" s="47" t="s">
        <v>42</v>
      </c>
      <c r="C35" s="46">
        <v>36025.463000000003</v>
      </c>
      <c r="D35" s="10"/>
      <c r="E35">
        <f t="shared" si="0"/>
        <v>196.0175817213466</v>
      </c>
      <c r="F35">
        <f t="shared" si="1"/>
        <v>196</v>
      </c>
      <c r="G35">
        <f t="shared" si="4"/>
        <v>8.8800000004994217E-2</v>
      </c>
      <c r="H35">
        <f t="shared" si="5"/>
        <v>8.8800000004994217E-2</v>
      </c>
      <c r="O35">
        <f t="shared" ca="1" si="2"/>
        <v>2.2369774308433929E-3</v>
      </c>
      <c r="Q35" s="2">
        <f t="shared" si="3"/>
        <v>21006.963000000003</v>
      </c>
    </row>
    <row r="36" spans="1:31" x14ac:dyDescent="0.2">
      <c r="A36" s="45" t="s">
        <v>130</v>
      </c>
      <c r="B36" s="47" t="s">
        <v>42</v>
      </c>
      <c r="C36" s="46">
        <v>36434.478999999999</v>
      </c>
      <c r="D36" s="10"/>
      <c r="E36">
        <f t="shared" si="0"/>
        <v>276.99962381452099</v>
      </c>
      <c r="F36">
        <f t="shared" si="1"/>
        <v>277</v>
      </c>
      <c r="G36">
        <f t="shared" si="4"/>
        <v>-1.8999999956577085E-3</v>
      </c>
      <c r="H36">
        <f t="shared" si="5"/>
        <v>-1.8999999956577085E-3</v>
      </c>
      <c r="O36">
        <f t="shared" ca="1" si="2"/>
        <v>8.9599040182036186E-4</v>
      </c>
      <c r="Q36" s="2">
        <f t="shared" si="3"/>
        <v>21415.978999999999</v>
      </c>
    </row>
    <row r="37" spans="1:31" x14ac:dyDescent="0.2">
      <c r="A37" s="45" t="s">
        <v>112</v>
      </c>
      <c r="B37" s="47" t="s">
        <v>42</v>
      </c>
      <c r="C37" s="46">
        <v>36459.74</v>
      </c>
      <c r="D37" s="10"/>
      <c r="E37">
        <f t="shared" si="0"/>
        <v>282.00110875720196</v>
      </c>
      <c r="F37">
        <f t="shared" si="1"/>
        <v>282</v>
      </c>
      <c r="G37">
        <f t="shared" si="4"/>
        <v>5.5999999967752956E-3</v>
      </c>
      <c r="H37">
        <f t="shared" si="5"/>
        <v>5.5999999967752956E-3</v>
      </c>
      <c r="O37">
        <f t="shared" ca="1" si="2"/>
        <v>8.1321342472017496E-4</v>
      </c>
      <c r="Q37" s="2">
        <f t="shared" si="3"/>
        <v>21441.239999999998</v>
      </c>
    </row>
    <row r="38" spans="1:31" x14ac:dyDescent="0.2">
      <c r="A38" s="45" t="s">
        <v>112</v>
      </c>
      <c r="B38" s="47" t="s">
        <v>42</v>
      </c>
      <c r="C38" s="46">
        <v>36540.555999999997</v>
      </c>
      <c r="D38" s="10"/>
      <c r="E38">
        <f t="shared" si="0"/>
        <v>298.00205912051769</v>
      </c>
      <c r="F38">
        <f t="shared" si="1"/>
        <v>298</v>
      </c>
      <c r="G38">
        <f t="shared" si="4"/>
        <v>1.0399999999208376E-2</v>
      </c>
      <c r="H38">
        <f t="shared" si="5"/>
        <v>1.0399999999208376E-2</v>
      </c>
      <c r="O38">
        <f t="shared" ca="1" si="2"/>
        <v>5.483270979995767E-4</v>
      </c>
      <c r="Q38" s="2">
        <f t="shared" si="3"/>
        <v>21522.055999999997</v>
      </c>
    </row>
    <row r="39" spans="1:31" x14ac:dyDescent="0.2">
      <c r="A39" s="45" t="s">
        <v>144</v>
      </c>
      <c r="B39" s="47" t="s">
        <v>42</v>
      </c>
      <c r="C39" s="46">
        <v>36727.39</v>
      </c>
      <c r="D39" s="10"/>
      <c r="E39">
        <f t="shared" si="0"/>
        <v>334.99376324073916</v>
      </c>
      <c r="F39">
        <f t="shared" si="1"/>
        <v>335</v>
      </c>
      <c r="G39">
        <f t="shared" si="4"/>
        <v>-3.1499999997322448E-2</v>
      </c>
      <c r="H39">
        <f t="shared" si="5"/>
        <v>-3.1499999997322448E-2</v>
      </c>
      <c r="O39">
        <f t="shared" ca="1" si="2"/>
        <v>-6.4222532541807591E-5</v>
      </c>
      <c r="Q39" s="2">
        <f t="shared" si="3"/>
        <v>21708.89</v>
      </c>
    </row>
    <row r="40" spans="1:31" x14ac:dyDescent="0.2">
      <c r="A40" s="45" t="s">
        <v>130</v>
      </c>
      <c r="B40" s="47" t="s">
        <v>42</v>
      </c>
      <c r="C40" s="46">
        <v>37934.427000000003</v>
      </c>
      <c r="D40" s="10"/>
      <c r="E40">
        <f t="shared" si="0"/>
        <v>573.97786445443307</v>
      </c>
      <c r="F40">
        <f t="shared" si="1"/>
        <v>574</v>
      </c>
      <c r="G40">
        <f t="shared" si="4"/>
        <v>-0.11179999999149004</v>
      </c>
      <c r="H40">
        <f t="shared" si="5"/>
        <v>-0.11179999999149004</v>
      </c>
      <c r="O40">
        <f t="shared" ca="1" si="2"/>
        <v>-4.02096203793075E-3</v>
      </c>
      <c r="Q40" s="2">
        <f t="shared" si="3"/>
        <v>22915.927000000003</v>
      </c>
    </row>
    <row r="41" spans="1:31" x14ac:dyDescent="0.2">
      <c r="A41" s="45" t="s">
        <v>130</v>
      </c>
      <c r="B41" s="47" t="s">
        <v>42</v>
      </c>
      <c r="C41" s="46">
        <v>38146.582000000002</v>
      </c>
      <c r="D41" s="10"/>
      <c r="E41">
        <f t="shared" si="0"/>
        <v>615.98293305878474</v>
      </c>
      <c r="F41">
        <f t="shared" si="1"/>
        <v>616</v>
      </c>
      <c r="G41">
        <f t="shared" si="4"/>
        <v>-8.6199999997916166E-2</v>
      </c>
      <c r="H41">
        <f t="shared" si="5"/>
        <v>-8.6199999997916166E-2</v>
      </c>
      <c r="O41">
        <f t="shared" ca="1" si="2"/>
        <v>-4.7162886455723221E-3</v>
      </c>
      <c r="Q41" s="2">
        <f t="shared" si="3"/>
        <v>23128.082000000002</v>
      </c>
    </row>
    <row r="42" spans="1:31" x14ac:dyDescent="0.2">
      <c r="A42" s="45" t="s">
        <v>155</v>
      </c>
      <c r="B42" s="47" t="s">
        <v>42</v>
      </c>
      <c r="C42" s="46">
        <v>38232.512999999999</v>
      </c>
      <c r="D42" s="10"/>
      <c r="E42">
        <f t="shared" si="0"/>
        <v>632.99661433068707</v>
      </c>
      <c r="F42">
        <f t="shared" si="1"/>
        <v>633</v>
      </c>
      <c r="G42">
        <f t="shared" si="4"/>
        <v>-1.7099999997299165E-2</v>
      </c>
      <c r="H42">
        <f t="shared" si="5"/>
        <v>-1.7099999997299165E-2</v>
      </c>
      <c r="O42">
        <f t="shared" ca="1" si="2"/>
        <v>-4.9977303677129579E-3</v>
      </c>
      <c r="Q42" s="2">
        <f t="shared" si="3"/>
        <v>23214.012999999999</v>
      </c>
    </row>
    <row r="43" spans="1:31" x14ac:dyDescent="0.2">
      <c r="A43" s="45" t="s">
        <v>130</v>
      </c>
      <c r="B43" s="47" t="s">
        <v>42</v>
      </c>
      <c r="C43" s="46">
        <v>38237.531999999999</v>
      </c>
      <c r="D43" s="10"/>
      <c r="E43">
        <f t="shared" si="0"/>
        <v>633.99033797295453</v>
      </c>
      <c r="F43">
        <f t="shared" si="1"/>
        <v>634</v>
      </c>
      <c r="G43">
        <f t="shared" si="4"/>
        <v>-4.8799999996845145E-2</v>
      </c>
      <c r="H43">
        <f t="shared" si="5"/>
        <v>-4.8799999996845145E-2</v>
      </c>
      <c r="O43">
        <f t="shared" ca="1" si="2"/>
        <v>-5.0142857631329946E-3</v>
      </c>
      <c r="Q43" s="2">
        <f t="shared" si="3"/>
        <v>23219.031999999999</v>
      </c>
    </row>
    <row r="44" spans="1:31" x14ac:dyDescent="0.2">
      <c r="A44" s="45" t="s">
        <v>130</v>
      </c>
      <c r="B44" s="47" t="s">
        <v>42</v>
      </c>
      <c r="C44" s="46">
        <v>38399.22</v>
      </c>
      <c r="D44" s="10"/>
      <c r="E44">
        <f t="shared" si="0"/>
        <v>666.00332627160651</v>
      </c>
      <c r="F44">
        <f t="shared" si="1"/>
        <v>666</v>
      </c>
      <c r="G44">
        <f t="shared" si="4"/>
        <v>1.6800000004877802E-2</v>
      </c>
      <c r="H44">
        <f t="shared" si="5"/>
        <v>1.6800000004877802E-2</v>
      </c>
      <c r="O44">
        <f t="shared" ca="1" si="2"/>
        <v>-5.5440584165741928E-3</v>
      </c>
      <c r="Q44" s="2">
        <f t="shared" si="3"/>
        <v>23380.720000000001</v>
      </c>
    </row>
    <row r="45" spans="1:31" x14ac:dyDescent="0.2">
      <c r="A45" s="45" t="s">
        <v>130</v>
      </c>
      <c r="B45" s="47" t="s">
        <v>42</v>
      </c>
      <c r="C45" s="46">
        <v>38525.557000000001</v>
      </c>
      <c r="D45" s="10"/>
      <c r="E45">
        <f t="shared" si="0"/>
        <v>691.01708674045233</v>
      </c>
      <c r="F45">
        <f t="shared" si="1"/>
        <v>691</v>
      </c>
      <c r="G45">
        <f t="shared" si="4"/>
        <v>8.6300000002665911E-2</v>
      </c>
      <c r="H45">
        <f t="shared" si="5"/>
        <v>8.6300000002665911E-2</v>
      </c>
      <c r="O45">
        <f t="shared" ca="1" si="2"/>
        <v>-5.9579433020751273E-3</v>
      </c>
      <c r="Q45" s="2">
        <f t="shared" si="3"/>
        <v>23507.057000000001</v>
      </c>
    </row>
    <row r="46" spans="1:31" x14ac:dyDescent="0.2">
      <c r="A46" s="45" t="s">
        <v>167</v>
      </c>
      <c r="B46" s="47" t="s">
        <v>42</v>
      </c>
      <c r="C46" s="46">
        <v>38919.442000000003</v>
      </c>
      <c r="D46" s="10"/>
      <c r="E46">
        <f t="shared" si="0"/>
        <v>769.00330647237104</v>
      </c>
      <c r="F46">
        <f t="shared" si="1"/>
        <v>769</v>
      </c>
      <c r="G46">
        <f t="shared" si="4"/>
        <v>1.6700000007404014E-2</v>
      </c>
      <c r="H46">
        <f t="shared" si="5"/>
        <v>1.6700000007404014E-2</v>
      </c>
      <c r="O46">
        <f t="shared" ca="1" si="2"/>
        <v>-7.2492641448380461E-3</v>
      </c>
      <c r="Q46" s="2">
        <f t="shared" si="3"/>
        <v>23900.942000000003</v>
      </c>
    </row>
    <row r="47" spans="1:31" x14ac:dyDescent="0.2">
      <c r="A47" s="45" t="s">
        <v>172</v>
      </c>
      <c r="B47" s="47" t="s">
        <v>42</v>
      </c>
      <c r="C47" s="46">
        <v>40419.466999999997</v>
      </c>
      <c r="D47" s="10"/>
      <c r="E47">
        <f t="shared" si="0"/>
        <v>1065.9967925238084</v>
      </c>
      <c r="F47">
        <f t="shared" si="1"/>
        <v>1066</v>
      </c>
      <c r="G47">
        <f t="shared" si="4"/>
        <v>-1.6199999998207204E-2</v>
      </c>
      <c r="H47">
        <f t="shared" si="5"/>
        <v>-1.6199999998207204E-2</v>
      </c>
      <c r="O47">
        <f t="shared" ca="1" si="2"/>
        <v>-1.2166216584589159E-2</v>
      </c>
      <c r="Q47" s="2">
        <f t="shared" si="3"/>
        <v>25400.966999999997</v>
      </c>
    </row>
    <row r="48" spans="1:31" x14ac:dyDescent="0.2">
      <c r="A48" t="s">
        <v>28</v>
      </c>
      <c r="C48" s="29">
        <v>41116.49</v>
      </c>
      <c r="D48" s="29"/>
      <c r="E48">
        <f t="shared" si="0"/>
        <v>1204.0020195220463</v>
      </c>
      <c r="F48">
        <f t="shared" si="1"/>
        <v>1204</v>
      </c>
      <c r="G48">
        <f t="shared" si="4"/>
        <v>1.0199999996984843E-2</v>
      </c>
      <c r="I48">
        <f>+G48</f>
        <v>1.0199999996984843E-2</v>
      </c>
      <c r="O48">
        <f t="shared" ca="1" si="2"/>
        <v>-1.4450861152554322E-2</v>
      </c>
      <c r="Q48" s="2">
        <f t="shared" si="3"/>
        <v>26097.989999999998</v>
      </c>
      <c r="AB48">
        <v>8</v>
      </c>
      <c r="AC48" t="s">
        <v>27</v>
      </c>
      <c r="AE48" t="s">
        <v>29</v>
      </c>
    </row>
    <row r="49" spans="1:31" x14ac:dyDescent="0.2">
      <c r="A49" s="45" t="s">
        <v>172</v>
      </c>
      <c r="B49" s="47" t="s">
        <v>42</v>
      </c>
      <c r="C49" s="46">
        <v>41601.341</v>
      </c>
      <c r="D49" s="10"/>
      <c r="E49">
        <f t="shared" si="0"/>
        <v>1299.9988120458554</v>
      </c>
      <c r="F49">
        <f t="shared" si="1"/>
        <v>1300</v>
      </c>
      <c r="G49">
        <f t="shared" si="4"/>
        <v>-5.9999999939464033E-3</v>
      </c>
      <c r="H49">
        <f>+G49</f>
        <v>-5.9999999939464033E-3</v>
      </c>
      <c r="O49">
        <f t="shared" ca="1" si="2"/>
        <v>-1.6040179112877914E-2</v>
      </c>
      <c r="Q49" s="2">
        <f t="shared" si="3"/>
        <v>26582.841</v>
      </c>
    </row>
    <row r="50" spans="1:31" x14ac:dyDescent="0.2">
      <c r="A50" s="45" t="s">
        <v>172</v>
      </c>
      <c r="B50" s="47" t="s">
        <v>42</v>
      </c>
      <c r="C50" s="46">
        <v>42303.381000000001</v>
      </c>
      <c r="D50" s="10"/>
      <c r="E50">
        <f t="shared" si="0"/>
        <v>1438.9973667016459</v>
      </c>
      <c r="F50">
        <f t="shared" si="1"/>
        <v>1439</v>
      </c>
      <c r="G50">
        <f t="shared" si="4"/>
        <v>-1.329999999870779E-2</v>
      </c>
      <c r="H50">
        <f>+G50</f>
        <v>-1.329999999870779E-2</v>
      </c>
      <c r="O50">
        <f t="shared" ca="1" si="2"/>
        <v>-1.8341379076263115E-2</v>
      </c>
      <c r="Q50" s="2">
        <f t="shared" si="3"/>
        <v>27284.881000000001</v>
      </c>
    </row>
    <row r="51" spans="1:31" x14ac:dyDescent="0.2">
      <c r="A51" t="s">
        <v>30</v>
      </c>
      <c r="C51" s="29">
        <v>44495.374000000003</v>
      </c>
      <c r="D51" s="29"/>
      <c r="E51">
        <f t="shared" si="0"/>
        <v>1872.9952283841853</v>
      </c>
      <c r="F51">
        <f t="shared" si="1"/>
        <v>1873</v>
      </c>
      <c r="G51">
        <f t="shared" si="4"/>
        <v>-2.4099999995087273E-2</v>
      </c>
      <c r="I51">
        <f t="shared" ref="I51:I60" si="6">+G51</f>
        <v>-2.4099999995087273E-2</v>
      </c>
      <c r="O51">
        <f t="shared" ca="1" si="2"/>
        <v>-2.5526420688559353E-2</v>
      </c>
      <c r="Q51" s="2">
        <f t="shared" si="3"/>
        <v>29476.874000000003</v>
      </c>
      <c r="AB51">
        <v>11</v>
      </c>
      <c r="AC51" t="s">
        <v>27</v>
      </c>
      <c r="AE51" t="s">
        <v>29</v>
      </c>
    </row>
    <row r="52" spans="1:31" x14ac:dyDescent="0.2">
      <c r="A52" t="s">
        <v>32</v>
      </c>
      <c r="C52" s="29">
        <v>44586.294999999998</v>
      </c>
      <c r="D52" s="29"/>
      <c r="E52">
        <f t="shared" si="0"/>
        <v>1890.9968915199875</v>
      </c>
      <c r="F52">
        <f t="shared" si="1"/>
        <v>1891</v>
      </c>
      <c r="G52">
        <f t="shared" si="4"/>
        <v>-1.5700000003562309E-2</v>
      </c>
      <c r="I52">
        <f t="shared" si="6"/>
        <v>-1.5700000003562309E-2</v>
      </c>
      <c r="O52">
        <f t="shared" ca="1" si="2"/>
        <v>-2.5824417806120027E-2</v>
      </c>
      <c r="Q52" s="2">
        <f t="shared" si="3"/>
        <v>29567.794999999998</v>
      </c>
      <c r="AA52" t="s">
        <v>31</v>
      </c>
      <c r="AB52">
        <v>8</v>
      </c>
      <c r="AC52" t="s">
        <v>27</v>
      </c>
      <c r="AE52" t="s">
        <v>29</v>
      </c>
    </row>
    <row r="53" spans="1:31" x14ac:dyDescent="0.2">
      <c r="A53" t="s">
        <v>32</v>
      </c>
      <c r="C53" s="29">
        <v>44591.362000000001</v>
      </c>
      <c r="D53" s="29"/>
      <c r="E53">
        <f t="shared" ref="E53:E70" si="7">+(C53-C$7)/C$8</f>
        <v>1892.0001187954151</v>
      </c>
      <c r="F53">
        <f t="shared" ref="F53:F71" si="8">ROUND(2*E53,0)/2</f>
        <v>1892</v>
      </c>
      <c r="G53">
        <f t="shared" si="4"/>
        <v>6.0000000667059794E-4</v>
      </c>
      <c r="I53">
        <f t="shared" si="6"/>
        <v>6.0000000667059794E-4</v>
      </c>
      <c r="O53">
        <f t="shared" ref="O53:O70" ca="1" si="9">+C$11+C$12*$F53</f>
        <v>-2.5840973201540066E-2</v>
      </c>
      <c r="Q53" s="2">
        <f t="shared" ref="Q53:Q70" si="10">+C53-15018.5</f>
        <v>29572.862000000001</v>
      </c>
      <c r="AA53" t="s">
        <v>31</v>
      </c>
      <c r="AB53">
        <v>7</v>
      </c>
      <c r="AC53" t="s">
        <v>27</v>
      </c>
      <c r="AE53" t="s">
        <v>29</v>
      </c>
    </row>
    <row r="54" spans="1:31" x14ac:dyDescent="0.2">
      <c r="A54" t="s">
        <v>33</v>
      </c>
      <c r="C54" s="29">
        <v>44712.56</v>
      </c>
      <c r="D54" s="29"/>
      <c r="E54">
        <f t="shared" si="7"/>
        <v>1915.9963965390934</v>
      </c>
      <c r="F54">
        <f t="shared" si="8"/>
        <v>1916</v>
      </c>
      <c r="G54">
        <f t="shared" si="4"/>
        <v>-1.8199999998614658E-2</v>
      </c>
      <c r="I54">
        <f t="shared" si="6"/>
        <v>-1.8199999998614658E-2</v>
      </c>
      <c r="O54">
        <f t="shared" ca="1" si="9"/>
        <v>-2.623830269162096E-2</v>
      </c>
      <c r="Q54" s="2">
        <f t="shared" si="10"/>
        <v>29694.059999999998</v>
      </c>
      <c r="AA54" t="s">
        <v>31</v>
      </c>
      <c r="AB54">
        <v>7</v>
      </c>
      <c r="AC54" t="s">
        <v>27</v>
      </c>
      <c r="AE54" t="s">
        <v>29</v>
      </c>
    </row>
    <row r="55" spans="1:31" x14ac:dyDescent="0.2">
      <c r="A55" t="s">
        <v>34</v>
      </c>
      <c r="C55" s="29">
        <v>44808.55</v>
      </c>
      <c r="D55" s="29"/>
      <c r="E55">
        <f t="shared" si="7"/>
        <v>1935.0016829350398</v>
      </c>
      <c r="F55">
        <f t="shared" si="8"/>
        <v>1935</v>
      </c>
      <c r="G55">
        <f t="shared" si="4"/>
        <v>8.5000000035506673E-3</v>
      </c>
      <c r="I55">
        <f t="shared" si="6"/>
        <v>8.5000000035506673E-3</v>
      </c>
      <c r="O55">
        <f t="shared" ca="1" si="9"/>
        <v>-2.6552855204601669E-2</v>
      </c>
      <c r="Q55" s="2">
        <f t="shared" si="10"/>
        <v>29790.050000000003</v>
      </c>
      <c r="AA55" t="s">
        <v>31</v>
      </c>
      <c r="AB55">
        <v>7</v>
      </c>
      <c r="AC55" t="s">
        <v>27</v>
      </c>
      <c r="AE55" t="s">
        <v>29</v>
      </c>
    </row>
    <row r="56" spans="1:31" x14ac:dyDescent="0.2">
      <c r="A56" t="s">
        <v>35</v>
      </c>
      <c r="C56" s="29">
        <v>45278.243000000002</v>
      </c>
      <c r="D56" s="29"/>
      <c r="E56">
        <f t="shared" si="7"/>
        <v>2027.9973073039389</v>
      </c>
      <c r="F56">
        <f t="shared" si="8"/>
        <v>2028</v>
      </c>
      <c r="G56">
        <f t="shared" si="4"/>
        <v>-1.359999999840511E-2</v>
      </c>
      <c r="I56">
        <f t="shared" si="6"/>
        <v>-1.359999999840511E-2</v>
      </c>
      <c r="O56">
        <f t="shared" ca="1" si="9"/>
        <v>-2.8092506978665152E-2</v>
      </c>
      <c r="Q56" s="2">
        <f t="shared" si="10"/>
        <v>30259.743000000002</v>
      </c>
      <c r="AA56" t="s">
        <v>31</v>
      </c>
      <c r="AB56">
        <v>7</v>
      </c>
      <c r="AC56" t="s">
        <v>27</v>
      </c>
      <c r="AE56" t="s">
        <v>29</v>
      </c>
    </row>
    <row r="57" spans="1:31" x14ac:dyDescent="0.2">
      <c r="A57" t="s">
        <v>35</v>
      </c>
      <c r="C57" s="29">
        <v>45288.334000000003</v>
      </c>
      <c r="D57" s="29"/>
      <c r="E57">
        <f t="shared" si="7"/>
        <v>2029.9952481834209</v>
      </c>
      <c r="F57">
        <f t="shared" si="8"/>
        <v>2030</v>
      </c>
      <c r="G57">
        <f t="shared" si="4"/>
        <v>-2.3999999997613486E-2</v>
      </c>
      <c r="I57">
        <f t="shared" si="6"/>
        <v>-2.3999999997613486E-2</v>
      </c>
      <c r="O57">
        <f t="shared" ca="1" si="9"/>
        <v>-2.8125617769505229E-2</v>
      </c>
      <c r="Q57" s="2">
        <f t="shared" si="10"/>
        <v>30269.834000000003</v>
      </c>
      <c r="AA57" t="s">
        <v>31</v>
      </c>
      <c r="AB57">
        <v>8</v>
      </c>
      <c r="AC57" t="s">
        <v>36</v>
      </c>
      <c r="AE57" t="s">
        <v>29</v>
      </c>
    </row>
    <row r="58" spans="1:31" x14ac:dyDescent="0.2">
      <c r="A58" s="45" t="s">
        <v>210</v>
      </c>
      <c r="B58" s="47" t="s">
        <v>42</v>
      </c>
      <c r="C58" s="46">
        <v>46263.116999999998</v>
      </c>
      <c r="D58" s="10"/>
      <c r="E58">
        <f t="shared" si="7"/>
        <v>2222.9948323994695</v>
      </c>
      <c r="F58">
        <f t="shared" si="8"/>
        <v>2223</v>
      </c>
      <c r="G58">
        <f t="shared" si="4"/>
        <v>-2.6100000002770685E-2</v>
      </c>
      <c r="I58">
        <f t="shared" si="6"/>
        <v>-2.6100000002770685E-2</v>
      </c>
      <c r="O58">
        <f t="shared" ca="1" si="9"/>
        <v>-3.132080908557245E-2</v>
      </c>
      <c r="Q58" s="2">
        <f t="shared" si="10"/>
        <v>31244.616999999998</v>
      </c>
    </row>
    <row r="59" spans="1:31" x14ac:dyDescent="0.2">
      <c r="A59" t="s">
        <v>37</v>
      </c>
      <c r="C59" s="29">
        <v>46596.434000000001</v>
      </c>
      <c r="D59" s="29"/>
      <c r="E59">
        <f t="shared" si="7"/>
        <v>2288.989051022631</v>
      </c>
      <c r="F59">
        <f t="shared" si="8"/>
        <v>2289</v>
      </c>
      <c r="G59">
        <f t="shared" si="4"/>
        <v>-5.5299999999988358E-2</v>
      </c>
      <c r="I59">
        <f t="shared" si="6"/>
        <v>-5.5299999999988358E-2</v>
      </c>
      <c r="O59">
        <f t="shared" ca="1" si="9"/>
        <v>-3.2413465183294916E-2</v>
      </c>
      <c r="Q59" s="2">
        <f t="shared" si="10"/>
        <v>31577.934000000001</v>
      </c>
      <c r="AA59" t="s">
        <v>31</v>
      </c>
      <c r="AE59" t="s">
        <v>38</v>
      </c>
    </row>
    <row r="60" spans="1:31" x14ac:dyDescent="0.2">
      <c r="A60" t="s">
        <v>37</v>
      </c>
      <c r="C60" s="29">
        <v>46596.451000000001</v>
      </c>
      <c r="D60" s="29"/>
      <c r="E60">
        <f t="shared" si="7"/>
        <v>2288.9924168927087</v>
      </c>
      <c r="F60">
        <f t="shared" si="8"/>
        <v>2289</v>
      </c>
      <c r="G60">
        <f t="shared" si="4"/>
        <v>-3.8300000000162981E-2</v>
      </c>
      <c r="I60">
        <f t="shared" si="6"/>
        <v>-3.8300000000162981E-2</v>
      </c>
      <c r="O60">
        <f t="shared" ca="1" si="9"/>
        <v>-3.2413465183294916E-2</v>
      </c>
      <c r="Q60" s="2">
        <f t="shared" si="10"/>
        <v>31577.951000000001</v>
      </c>
      <c r="AA60" t="s">
        <v>31</v>
      </c>
      <c r="AE60" t="s">
        <v>38</v>
      </c>
    </row>
    <row r="61" spans="1:31" x14ac:dyDescent="0.2">
      <c r="A61" s="45" t="s">
        <v>226</v>
      </c>
      <c r="B61" s="47" t="s">
        <v>42</v>
      </c>
      <c r="C61" s="46">
        <v>47788.424299999999</v>
      </c>
      <c r="D61" s="10"/>
      <c r="E61">
        <f t="shared" si="7"/>
        <v>2524.9940206308038</v>
      </c>
      <c r="F61">
        <f t="shared" si="8"/>
        <v>2525</v>
      </c>
      <c r="G61">
        <f t="shared" si="4"/>
        <v>-3.0200000001059379E-2</v>
      </c>
      <c r="J61">
        <f>+G61</f>
        <v>-3.0200000001059379E-2</v>
      </c>
      <c r="O61">
        <f t="shared" ca="1" si="9"/>
        <v>-3.6320538502423748E-2</v>
      </c>
      <c r="Q61" s="2">
        <f t="shared" si="10"/>
        <v>32769.924299999999</v>
      </c>
    </row>
    <row r="62" spans="1:31" x14ac:dyDescent="0.2">
      <c r="A62" t="s">
        <v>40</v>
      </c>
      <c r="C62" s="29">
        <v>47788.424500000001</v>
      </c>
      <c r="D62" s="29"/>
      <c r="E62">
        <f t="shared" si="7"/>
        <v>2524.9940602292759</v>
      </c>
      <c r="F62">
        <f t="shared" si="8"/>
        <v>2525</v>
      </c>
      <c r="G62">
        <f t="shared" si="4"/>
        <v>-2.9999999998835847E-2</v>
      </c>
      <c r="J62">
        <f>+G62</f>
        <v>-2.9999999998835847E-2</v>
      </c>
      <c r="O62">
        <f t="shared" ca="1" si="9"/>
        <v>-3.6320538502423748E-2</v>
      </c>
      <c r="Q62" s="2">
        <f t="shared" si="10"/>
        <v>32769.924500000001</v>
      </c>
      <c r="AA62" t="s">
        <v>39</v>
      </c>
      <c r="AE62" t="s">
        <v>38</v>
      </c>
    </row>
    <row r="63" spans="1:31" x14ac:dyDescent="0.2">
      <c r="A63" t="s">
        <v>41</v>
      </c>
      <c r="B63" s="9" t="s">
        <v>42</v>
      </c>
      <c r="C63" s="29">
        <v>51778.449500000002</v>
      </c>
      <c r="D63" s="29">
        <v>8.8999999999999999E-3</v>
      </c>
      <c r="E63">
        <f t="shared" si="7"/>
        <v>3314.9885164432662</v>
      </c>
      <c r="F63">
        <f t="shared" si="8"/>
        <v>3315</v>
      </c>
      <c r="G63">
        <f t="shared" si="4"/>
        <v>-5.799999999726424E-2</v>
      </c>
      <c r="J63">
        <f>+G63</f>
        <v>-5.799999999726424E-2</v>
      </c>
      <c r="O63">
        <f t="shared" ca="1" si="9"/>
        <v>-4.9399300884253303E-2</v>
      </c>
      <c r="Q63" s="2">
        <f t="shared" si="10"/>
        <v>36759.949500000002</v>
      </c>
    </row>
    <row r="64" spans="1:31" x14ac:dyDescent="0.2">
      <c r="A64" s="45" t="s">
        <v>237</v>
      </c>
      <c r="B64" s="47" t="s">
        <v>42</v>
      </c>
      <c r="C64" s="46">
        <v>52475.463000000003</v>
      </c>
      <c r="D64" s="10"/>
      <c r="E64">
        <f t="shared" si="7"/>
        <v>3452.9918625141081</v>
      </c>
      <c r="F64">
        <f t="shared" si="8"/>
        <v>3453</v>
      </c>
      <c r="G64">
        <f t="shared" si="4"/>
        <v>-4.109999999491265E-2</v>
      </c>
      <c r="I64">
        <f>+G64</f>
        <v>-4.109999999491265E-2</v>
      </c>
      <c r="O64">
        <f t="shared" ca="1" si="9"/>
        <v>-5.1683945452218466E-2</v>
      </c>
      <c r="Q64" s="2">
        <f t="shared" si="10"/>
        <v>37456.963000000003</v>
      </c>
    </row>
    <row r="65" spans="1:17" x14ac:dyDescent="0.2">
      <c r="A65" s="45" t="s">
        <v>241</v>
      </c>
      <c r="B65" s="47" t="s">
        <v>42</v>
      </c>
      <c r="C65" s="46">
        <v>52874.449000000001</v>
      </c>
      <c r="D65" s="10"/>
      <c r="E65">
        <f t="shared" si="7"/>
        <v>3531.988041261608</v>
      </c>
      <c r="F65">
        <f t="shared" si="8"/>
        <v>3532</v>
      </c>
      <c r="G65">
        <f t="shared" si="4"/>
        <v>-6.0399999994842801E-2</v>
      </c>
      <c r="I65">
        <f>+G65</f>
        <v>-6.0399999994842801E-2</v>
      </c>
      <c r="O65">
        <f t="shared" ca="1" si="9"/>
        <v>-5.2991821690401425E-2</v>
      </c>
      <c r="Q65" s="2">
        <f t="shared" si="10"/>
        <v>37855.949000000001</v>
      </c>
    </row>
    <row r="66" spans="1:17" x14ac:dyDescent="0.2">
      <c r="A66" s="11" t="s">
        <v>51</v>
      </c>
      <c r="B66" s="49" t="s">
        <v>42</v>
      </c>
      <c r="C66" s="11">
        <v>52874.459069999997</v>
      </c>
      <c r="D66" s="11" t="s">
        <v>52</v>
      </c>
      <c r="E66">
        <f t="shared" si="7"/>
        <v>3531.9900350446469</v>
      </c>
      <c r="F66">
        <f t="shared" si="8"/>
        <v>3532</v>
      </c>
      <c r="G66">
        <f t="shared" si="4"/>
        <v>-5.0329999998211861E-2</v>
      </c>
      <c r="K66">
        <f t="shared" ref="K66:K71" si="11">+G66</f>
        <v>-5.0329999998211861E-2</v>
      </c>
      <c r="O66">
        <f t="shared" ca="1" si="9"/>
        <v>-5.2991821690401425E-2</v>
      </c>
      <c r="Q66" s="2">
        <f t="shared" si="10"/>
        <v>37855.959069999997</v>
      </c>
    </row>
    <row r="67" spans="1:17" x14ac:dyDescent="0.2">
      <c r="A67" s="45" t="s">
        <v>252</v>
      </c>
      <c r="B67" s="47" t="s">
        <v>42</v>
      </c>
      <c r="C67" s="46">
        <v>54359.346100000002</v>
      </c>
      <c r="D67" s="10"/>
      <c r="E67">
        <f t="shared" si="7"/>
        <v>3825.986318728098</v>
      </c>
      <c r="F67">
        <f t="shared" si="8"/>
        <v>3826</v>
      </c>
      <c r="G67">
        <f t="shared" si="4"/>
        <v>-6.9100000000617001E-2</v>
      </c>
      <c r="K67">
        <f t="shared" si="11"/>
        <v>-6.9100000000617001E-2</v>
      </c>
      <c r="O67">
        <f t="shared" ca="1" si="9"/>
        <v>-5.7859107943892429E-2</v>
      </c>
      <c r="Q67" s="2">
        <f t="shared" si="10"/>
        <v>39340.846100000002</v>
      </c>
    </row>
    <row r="68" spans="1:17" s="59" customFormat="1" ht="12" customHeight="1" x14ac:dyDescent="0.2">
      <c r="A68" s="45" t="s">
        <v>252</v>
      </c>
      <c r="B68" s="47" t="s">
        <v>42</v>
      </c>
      <c r="C68" s="46">
        <v>54364.399400000002</v>
      </c>
      <c r="D68" s="58"/>
      <c r="E68" s="59">
        <f t="shared" si="7"/>
        <v>3826.9868335082274</v>
      </c>
      <c r="F68" s="59">
        <f t="shared" si="8"/>
        <v>3827</v>
      </c>
      <c r="G68" s="59">
        <f t="shared" si="4"/>
        <v>-6.649999999353895E-2</v>
      </c>
      <c r="K68" s="59">
        <f t="shared" si="11"/>
        <v>-6.649999999353895E-2</v>
      </c>
      <c r="O68" s="59">
        <f t="shared" ca="1" si="9"/>
        <v>-5.7875663339312461E-2</v>
      </c>
      <c r="Q68" s="60">
        <f t="shared" si="10"/>
        <v>39345.899400000002</v>
      </c>
    </row>
    <row r="69" spans="1:17" s="59" customFormat="1" ht="12" customHeight="1" x14ac:dyDescent="0.2">
      <c r="A69" s="30" t="s">
        <v>54</v>
      </c>
      <c r="B69" s="31" t="s">
        <v>42</v>
      </c>
      <c r="C69" s="30">
        <v>56864.493300000002</v>
      </c>
      <c r="D69" s="30">
        <v>5.4999999999999997E-3</v>
      </c>
      <c r="E69" s="59">
        <f t="shared" si="7"/>
        <v>4321.986318728098</v>
      </c>
      <c r="F69" s="59">
        <f t="shared" si="8"/>
        <v>4322</v>
      </c>
      <c r="G69" s="59">
        <f t="shared" si="4"/>
        <v>-6.9099999993341044E-2</v>
      </c>
      <c r="K69" s="59">
        <f t="shared" si="11"/>
        <v>-6.9099999993341044E-2</v>
      </c>
      <c r="O69" s="59">
        <f t="shared" ca="1" si="9"/>
        <v>-6.6070584072230987E-2</v>
      </c>
      <c r="Q69" s="60">
        <f t="shared" si="10"/>
        <v>41845.993300000002</v>
      </c>
    </row>
    <row r="70" spans="1:17" s="59" customFormat="1" ht="12" customHeight="1" x14ac:dyDescent="0.2">
      <c r="A70" s="61" t="s">
        <v>55</v>
      </c>
      <c r="B70" s="62"/>
      <c r="C70" s="61">
        <v>57258.454100000003</v>
      </c>
      <c r="D70" s="61">
        <v>3.0000000000000001E-3</v>
      </c>
      <c r="E70" s="59">
        <f t="shared" si="7"/>
        <v>4399.9875462807149</v>
      </c>
      <c r="F70" s="59">
        <f t="shared" si="8"/>
        <v>4400</v>
      </c>
      <c r="G70" s="59">
        <f t="shared" si="4"/>
        <v>-6.289999998989515E-2</v>
      </c>
      <c r="K70" s="59">
        <f t="shared" si="11"/>
        <v>-6.289999998989515E-2</v>
      </c>
      <c r="O70" s="59">
        <f t="shared" ca="1" si="9"/>
        <v>-6.73619049149939E-2</v>
      </c>
      <c r="Q70" s="60">
        <f t="shared" si="10"/>
        <v>42239.954100000003</v>
      </c>
    </row>
    <row r="71" spans="1:17" s="59" customFormat="1" ht="12" customHeight="1" x14ac:dyDescent="0.2">
      <c r="A71" s="50" t="s">
        <v>271</v>
      </c>
      <c r="B71" s="51" t="s">
        <v>42</v>
      </c>
      <c r="C71" s="52">
        <v>57248.358099999998</v>
      </c>
      <c r="D71" s="52">
        <v>1.4E-3</v>
      </c>
      <c r="E71" s="59">
        <f>+(C71-C$7)/C$8</f>
        <v>4397.9886154394444</v>
      </c>
      <c r="F71" s="59">
        <f t="shared" si="8"/>
        <v>4398</v>
      </c>
      <c r="G71" s="59">
        <f>+C71-(C$7+F71*C$8)</f>
        <v>-5.7499999995343387E-2</v>
      </c>
      <c r="K71" s="59">
        <f t="shared" si="11"/>
        <v>-5.7499999995343387E-2</v>
      </c>
      <c r="O71" s="59">
        <f ca="1">+C$11+C$12*$F71</f>
        <v>-6.7328794124153823E-2</v>
      </c>
      <c r="Q71" s="60">
        <f>+C71-15018.5</f>
        <v>42229.858099999998</v>
      </c>
    </row>
    <row r="72" spans="1:17" s="59" customFormat="1" ht="12" customHeight="1" x14ac:dyDescent="0.2">
      <c r="A72" s="53" t="s">
        <v>272</v>
      </c>
      <c r="B72" s="54" t="s">
        <v>42</v>
      </c>
      <c r="C72" s="55">
        <v>59076.688499999997</v>
      </c>
      <c r="D72" s="55">
        <v>5.9999999999999995E-4</v>
      </c>
      <c r="E72" s="59">
        <f>+(C72-C$7)/C$8</f>
        <v>4759.9840616152214</v>
      </c>
      <c r="F72" s="59">
        <f>ROUND(2*E72,0)/2</f>
        <v>4760</v>
      </c>
      <c r="G72" s="59">
        <f>+C72-(C$7+F72*C$8)</f>
        <v>-8.0500000003667083E-2</v>
      </c>
      <c r="K72" s="59">
        <f>+G72</f>
        <v>-8.0500000003667083E-2</v>
      </c>
      <c r="O72" s="59">
        <f ca="1">+C$11+C$12*$F72</f>
        <v>-7.3321847266207371E-2</v>
      </c>
      <c r="Q72" s="60">
        <f>+C72-15018.5</f>
        <v>44058.188499999997</v>
      </c>
    </row>
    <row r="73" spans="1:17" s="59" customFormat="1" ht="12" customHeight="1" x14ac:dyDescent="0.2">
      <c r="A73" s="56" t="s">
        <v>273</v>
      </c>
      <c r="B73" s="57" t="s">
        <v>42</v>
      </c>
      <c r="C73" s="64">
        <v>59844.410600000003</v>
      </c>
      <c r="D73" s="65">
        <v>1E-4</v>
      </c>
      <c r="E73" s="59">
        <f>+(C73-C$7)/C$8</f>
        <v>4911.9871700952353</v>
      </c>
      <c r="F73" s="59">
        <f>ROUND(2*E73,0)/2</f>
        <v>4912</v>
      </c>
      <c r="G73" s="59">
        <f>+C73-(C$7+F73*C$8)</f>
        <v>-6.4799999992828816E-2</v>
      </c>
      <c r="K73" s="59">
        <f>+G73</f>
        <v>-6.4799999992828816E-2</v>
      </c>
      <c r="O73" s="59">
        <f ca="1">+C$11+C$12*$F73</f>
        <v>-7.5838267370053059E-2</v>
      </c>
      <c r="Q73" s="60">
        <f>+C73-15018.5</f>
        <v>44825.910600000003</v>
      </c>
    </row>
    <row r="74" spans="1:17" s="59" customFormat="1" ht="12" customHeight="1" x14ac:dyDescent="0.2">
      <c r="B74" s="63"/>
      <c r="C74" s="58"/>
      <c r="D74" s="58"/>
    </row>
    <row r="75" spans="1:17" s="59" customFormat="1" ht="12" customHeight="1" x14ac:dyDescent="0.2">
      <c r="B75" s="63"/>
      <c r="C75" s="58"/>
      <c r="D75" s="58"/>
    </row>
    <row r="76" spans="1:17" s="59" customFormat="1" ht="12" customHeight="1" x14ac:dyDescent="0.2">
      <c r="C76" s="58"/>
      <c r="D76" s="58"/>
    </row>
    <row r="77" spans="1:17" s="59" customFormat="1" ht="12" customHeight="1" x14ac:dyDescent="0.2">
      <c r="C77" s="58"/>
      <c r="D77" s="58"/>
    </row>
    <row r="78" spans="1:17" s="59" customFormat="1" ht="12" customHeight="1" x14ac:dyDescent="0.2">
      <c r="C78" s="58"/>
      <c r="D78" s="58"/>
    </row>
    <row r="79" spans="1:17" s="59" customFormat="1" ht="12" customHeight="1" x14ac:dyDescent="0.2">
      <c r="C79" s="58"/>
      <c r="D79" s="58"/>
    </row>
    <row r="80" spans="1:17" s="59" customFormat="1" ht="12" customHeight="1" x14ac:dyDescent="0.2">
      <c r="C80" s="58"/>
      <c r="D80" s="58"/>
    </row>
    <row r="81" spans="3:4" s="59" customFormat="1" ht="12" customHeight="1" x14ac:dyDescent="0.2">
      <c r="C81" s="58"/>
      <c r="D81" s="58"/>
    </row>
    <row r="82" spans="3:4" s="59" customFormat="1" ht="12" customHeight="1" x14ac:dyDescent="0.2">
      <c r="C82" s="58"/>
      <c r="D82" s="58"/>
    </row>
    <row r="83" spans="3:4" s="59" customFormat="1" ht="12" customHeight="1" x14ac:dyDescent="0.2">
      <c r="C83" s="58"/>
      <c r="D83" s="58"/>
    </row>
    <row r="84" spans="3:4" s="59" customFormat="1" ht="12" customHeight="1" x14ac:dyDescent="0.2">
      <c r="C84" s="58"/>
      <c r="D84" s="58"/>
    </row>
    <row r="85" spans="3:4" s="59" customFormat="1" ht="12" customHeight="1" x14ac:dyDescent="0.2">
      <c r="C85" s="58"/>
      <c r="D85" s="58"/>
    </row>
    <row r="86" spans="3:4" s="59" customFormat="1" ht="12" customHeight="1" x14ac:dyDescent="0.2">
      <c r="C86" s="58"/>
      <c r="D86" s="58"/>
    </row>
    <row r="87" spans="3:4" s="59" customFormat="1" ht="12" customHeight="1" x14ac:dyDescent="0.2">
      <c r="C87" s="58"/>
      <c r="D87" s="58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9"/>
  <sheetViews>
    <sheetView topLeftCell="A16" workbookViewId="0">
      <selection activeCell="A25" sqref="A25:C58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2" t="s">
        <v>56</v>
      </c>
      <c r="I1" s="33" t="s">
        <v>57</v>
      </c>
      <c r="J1" s="34" t="s">
        <v>58</v>
      </c>
    </row>
    <row r="2" spans="1:16" x14ac:dyDescent="0.2">
      <c r="I2" s="35" t="s">
        <v>59</v>
      </c>
      <c r="J2" s="36" t="s">
        <v>60</v>
      </c>
    </row>
    <row r="3" spans="1:16" x14ac:dyDescent="0.2">
      <c r="A3" s="37" t="s">
        <v>61</v>
      </c>
      <c r="I3" s="35" t="s">
        <v>62</v>
      </c>
      <c r="J3" s="36" t="s">
        <v>63</v>
      </c>
    </row>
    <row r="4" spans="1:16" x14ac:dyDescent="0.2">
      <c r="I4" s="35" t="s">
        <v>64</v>
      </c>
      <c r="J4" s="36" t="s">
        <v>63</v>
      </c>
    </row>
    <row r="5" spans="1:16" ht="13.5" thickBot="1" x14ac:dyDescent="0.25">
      <c r="I5" s="38" t="s">
        <v>65</v>
      </c>
      <c r="J5" s="39" t="s">
        <v>66</v>
      </c>
    </row>
    <row r="10" spans="1:16" ht="13.5" thickBot="1" x14ac:dyDescent="0.25"/>
    <row r="11" spans="1:16" ht="12.75" customHeight="1" thickBot="1" x14ac:dyDescent="0.25">
      <c r="A11" s="10" t="str">
        <f t="shared" ref="A11:A58" si="0">P11</f>
        <v> ORI 125 </v>
      </c>
      <c r="B11" s="16" t="str">
        <f t="shared" ref="B11:B58" si="1">IF(H11=INT(H11),"I","II")</f>
        <v>I</v>
      </c>
      <c r="C11" s="10">
        <f t="shared" ref="C11:C58" si="2">1*G11</f>
        <v>41116.49</v>
      </c>
      <c r="D11" s="13" t="str">
        <f t="shared" ref="D11:D58" si="3">VLOOKUP(F11,I$1:J$5,2,FALSE)</f>
        <v>vis</v>
      </c>
      <c r="E11" s="40">
        <f>VLOOKUP(C11,Active!C$21:E$972,3,FALSE)</f>
        <v>1204.0020195220463</v>
      </c>
      <c r="F11" s="16" t="s">
        <v>65</v>
      </c>
      <c r="G11" s="13" t="str">
        <f t="shared" ref="G11:G58" si="4">MID(I11,3,LEN(I11)-3)</f>
        <v>41116.490</v>
      </c>
      <c r="H11" s="10">
        <f t="shared" ref="H11:H58" si="5">1*K11</f>
        <v>1204</v>
      </c>
      <c r="I11" s="41" t="s">
        <v>173</v>
      </c>
      <c r="J11" s="42" t="s">
        <v>174</v>
      </c>
      <c r="K11" s="41">
        <v>1204</v>
      </c>
      <c r="L11" s="41" t="s">
        <v>91</v>
      </c>
      <c r="M11" s="42" t="s">
        <v>71</v>
      </c>
      <c r="N11" s="42"/>
      <c r="O11" s="43" t="s">
        <v>175</v>
      </c>
      <c r="P11" s="43" t="s">
        <v>176</v>
      </c>
    </row>
    <row r="12" spans="1:16" ht="12.75" customHeight="1" thickBot="1" x14ac:dyDescent="0.25">
      <c r="A12" s="10" t="str">
        <f t="shared" si="0"/>
        <v> BBS 50 </v>
      </c>
      <c r="B12" s="16" t="str">
        <f t="shared" si="1"/>
        <v>I</v>
      </c>
      <c r="C12" s="10">
        <f t="shared" si="2"/>
        <v>44495.374000000003</v>
      </c>
      <c r="D12" s="13" t="str">
        <f t="shared" si="3"/>
        <v>vis</v>
      </c>
      <c r="E12" s="40">
        <f>VLOOKUP(C12,Active!C$21:E$972,3,FALSE)</f>
        <v>1872.9952283841853</v>
      </c>
      <c r="F12" s="16" t="s">
        <v>65</v>
      </c>
      <c r="G12" s="13" t="str">
        <f t="shared" si="4"/>
        <v>44495.374</v>
      </c>
      <c r="H12" s="10">
        <f t="shared" si="5"/>
        <v>1873</v>
      </c>
      <c r="I12" s="41" t="s">
        <v>183</v>
      </c>
      <c r="J12" s="42" t="s">
        <v>184</v>
      </c>
      <c r="K12" s="41">
        <v>1873</v>
      </c>
      <c r="L12" s="41" t="s">
        <v>185</v>
      </c>
      <c r="M12" s="42" t="s">
        <v>71</v>
      </c>
      <c r="N12" s="42"/>
      <c r="O12" s="43" t="s">
        <v>175</v>
      </c>
      <c r="P12" s="43" t="s">
        <v>186</v>
      </c>
    </row>
    <row r="13" spans="1:16" ht="12.75" customHeight="1" thickBot="1" x14ac:dyDescent="0.25">
      <c r="A13" s="10" t="str">
        <f t="shared" si="0"/>
        <v> BBS 52 </v>
      </c>
      <c r="B13" s="16" t="str">
        <f t="shared" si="1"/>
        <v>I</v>
      </c>
      <c r="C13" s="10">
        <f t="shared" si="2"/>
        <v>44586.294999999998</v>
      </c>
      <c r="D13" s="13" t="str">
        <f t="shared" si="3"/>
        <v>vis</v>
      </c>
      <c r="E13" s="40">
        <f>VLOOKUP(C13,Active!C$21:E$972,3,FALSE)</f>
        <v>1890.9968915199875</v>
      </c>
      <c r="F13" s="16" t="s">
        <v>65</v>
      </c>
      <c r="G13" s="13" t="str">
        <f t="shared" si="4"/>
        <v>44586.295</v>
      </c>
      <c r="H13" s="10">
        <f t="shared" si="5"/>
        <v>1891</v>
      </c>
      <c r="I13" s="41" t="s">
        <v>187</v>
      </c>
      <c r="J13" s="42" t="s">
        <v>188</v>
      </c>
      <c r="K13" s="41">
        <v>1891</v>
      </c>
      <c r="L13" s="41" t="s">
        <v>170</v>
      </c>
      <c r="M13" s="42" t="s">
        <v>71</v>
      </c>
      <c r="N13" s="42"/>
      <c r="O13" s="43" t="s">
        <v>175</v>
      </c>
      <c r="P13" s="43" t="s">
        <v>189</v>
      </c>
    </row>
    <row r="14" spans="1:16" ht="12.75" customHeight="1" thickBot="1" x14ac:dyDescent="0.25">
      <c r="A14" s="10" t="str">
        <f t="shared" si="0"/>
        <v> BBS 52 </v>
      </c>
      <c r="B14" s="16" t="str">
        <f t="shared" si="1"/>
        <v>I</v>
      </c>
      <c r="C14" s="10">
        <f t="shared" si="2"/>
        <v>44591.362000000001</v>
      </c>
      <c r="D14" s="13" t="str">
        <f t="shared" si="3"/>
        <v>vis</v>
      </c>
      <c r="E14" s="40">
        <f>VLOOKUP(C14,Active!C$21:E$972,3,FALSE)</f>
        <v>1892.0001187954151</v>
      </c>
      <c r="F14" s="16" t="s">
        <v>65</v>
      </c>
      <c r="G14" s="13" t="str">
        <f t="shared" si="4"/>
        <v>44591.362</v>
      </c>
      <c r="H14" s="10">
        <f t="shared" si="5"/>
        <v>1892</v>
      </c>
      <c r="I14" s="41" t="s">
        <v>190</v>
      </c>
      <c r="J14" s="42" t="s">
        <v>191</v>
      </c>
      <c r="K14" s="41">
        <v>1892</v>
      </c>
      <c r="L14" s="41" t="s">
        <v>105</v>
      </c>
      <c r="M14" s="42" t="s">
        <v>71</v>
      </c>
      <c r="N14" s="42"/>
      <c r="O14" s="43" t="s">
        <v>175</v>
      </c>
      <c r="P14" s="43" t="s">
        <v>189</v>
      </c>
    </row>
    <row r="15" spans="1:16" ht="12.75" customHeight="1" thickBot="1" x14ac:dyDescent="0.25">
      <c r="A15" s="10" t="str">
        <f t="shared" si="0"/>
        <v> BBS 54 </v>
      </c>
      <c r="B15" s="16" t="str">
        <f t="shared" si="1"/>
        <v>I</v>
      </c>
      <c r="C15" s="10">
        <f t="shared" si="2"/>
        <v>44712.56</v>
      </c>
      <c r="D15" s="13" t="str">
        <f t="shared" si="3"/>
        <v>vis</v>
      </c>
      <c r="E15" s="40">
        <f>VLOOKUP(C15,Active!C$21:E$972,3,FALSE)</f>
        <v>1915.9963965390934</v>
      </c>
      <c r="F15" s="16" t="s">
        <v>65</v>
      </c>
      <c r="G15" s="13" t="str">
        <f t="shared" si="4"/>
        <v>44712.560</v>
      </c>
      <c r="H15" s="10">
        <f t="shared" si="5"/>
        <v>1916</v>
      </c>
      <c r="I15" s="41" t="s">
        <v>192</v>
      </c>
      <c r="J15" s="42" t="s">
        <v>193</v>
      </c>
      <c r="K15" s="41">
        <v>1916</v>
      </c>
      <c r="L15" s="41" t="s">
        <v>194</v>
      </c>
      <c r="M15" s="42" t="s">
        <v>71</v>
      </c>
      <c r="N15" s="42"/>
      <c r="O15" s="43" t="s">
        <v>175</v>
      </c>
      <c r="P15" s="43" t="s">
        <v>195</v>
      </c>
    </row>
    <row r="16" spans="1:16" ht="12.75" customHeight="1" thickBot="1" x14ac:dyDescent="0.25">
      <c r="A16" s="10" t="str">
        <f t="shared" si="0"/>
        <v> BBS 56 </v>
      </c>
      <c r="B16" s="16" t="str">
        <f t="shared" si="1"/>
        <v>I</v>
      </c>
      <c r="C16" s="10">
        <f t="shared" si="2"/>
        <v>44808.55</v>
      </c>
      <c r="D16" s="13" t="str">
        <f t="shared" si="3"/>
        <v>vis</v>
      </c>
      <c r="E16" s="40">
        <f>VLOOKUP(C16,Active!C$21:E$972,3,FALSE)</f>
        <v>1935.0016829350398</v>
      </c>
      <c r="F16" s="16" t="s">
        <v>65</v>
      </c>
      <c r="G16" s="13" t="str">
        <f t="shared" si="4"/>
        <v>44808.550</v>
      </c>
      <c r="H16" s="10">
        <f t="shared" si="5"/>
        <v>1935</v>
      </c>
      <c r="I16" s="41" t="s">
        <v>196</v>
      </c>
      <c r="J16" s="42" t="s">
        <v>197</v>
      </c>
      <c r="K16" s="41">
        <v>1935</v>
      </c>
      <c r="L16" s="41" t="s">
        <v>198</v>
      </c>
      <c r="M16" s="42" t="s">
        <v>71</v>
      </c>
      <c r="N16" s="42"/>
      <c r="O16" s="43" t="s">
        <v>175</v>
      </c>
      <c r="P16" s="43" t="s">
        <v>199</v>
      </c>
    </row>
    <row r="17" spans="1:16" ht="12.75" customHeight="1" thickBot="1" x14ac:dyDescent="0.25">
      <c r="A17" s="10" t="str">
        <f t="shared" si="0"/>
        <v> BBS 64 </v>
      </c>
      <c r="B17" s="16" t="str">
        <f t="shared" si="1"/>
        <v>I</v>
      </c>
      <c r="C17" s="10">
        <f t="shared" si="2"/>
        <v>45278.243000000002</v>
      </c>
      <c r="D17" s="13" t="str">
        <f t="shared" si="3"/>
        <v>vis</v>
      </c>
      <c r="E17" s="40">
        <f>VLOOKUP(C17,Active!C$21:E$972,3,FALSE)</f>
        <v>2027.9973073039389</v>
      </c>
      <c r="F17" s="16" t="s">
        <v>65</v>
      </c>
      <c r="G17" s="13" t="str">
        <f t="shared" si="4"/>
        <v>45278.243</v>
      </c>
      <c r="H17" s="10">
        <f t="shared" si="5"/>
        <v>2028</v>
      </c>
      <c r="I17" s="41" t="s">
        <v>200</v>
      </c>
      <c r="J17" s="42" t="s">
        <v>201</v>
      </c>
      <c r="K17" s="41">
        <v>2028</v>
      </c>
      <c r="L17" s="41" t="s">
        <v>123</v>
      </c>
      <c r="M17" s="42" t="s">
        <v>71</v>
      </c>
      <c r="N17" s="42"/>
      <c r="O17" s="43" t="s">
        <v>175</v>
      </c>
      <c r="P17" s="43" t="s">
        <v>202</v>
      </c>
    </row>
    <row r="18" spans="1:16" ht="12.75" customHeight="1" thickBot="1" x14ac:dyDescent="0.25">
      <c r="A18" s="10" t="str">
        <f t="shared" si="0"/>
        <v> BBS 64 </v>
      </c>
      <c r="B18" s="16" t="str">
        <f t="shared" si="1"/>
        <v>I</v>
      </c>
      <c r="C18" s="10">
        <f t="shared" si="2"/>
        <v>45288.334000000003</v>
      </c>
      <c r="D18" s="13" t="str">
        <f t="shared" si="3"/>
        <v>vis</v>
      </c>
      <c r="E18" s="40">
        <f>VLOOKUP(C18,Active!C$21:E$972,3,FALSE)</f>
        <v>2029.9952481834209</v>
      </c>
      <c r="F18" s="16" t="s">
        <v>65</v>
      </c>
      <c r="G18" s="13" t="str">
        <f t="shared" si="4"/>
        <v>45288.334</v>
      </c>
      <c r="H18" s="10">
        <f t="shared" si="5"/>
        <v>2030</v>
      </c>
      <c r="I18" s="41" t="s">
        <v>203</v>
      </c>
      <c r="J18" s="42" t="s">
        <v>204</v>
      </c>
      <c r="K18" s="41">
        <v>2030</v>
      </c>
      <c r="L18" s="41" t="s">
        <v>185</v>
      </c>
      <c r="M18" s="42" t="s">
        <v>71</v>
      </c>
      <c r="N18" s="42"/>
      <c r="O18" s="43" t="s">
        <v>205</v>
      </c>
      <c r="P18" s="43" t="s">
        <v>202</v>
      </c>
    </row>
    <row r="19" spans="1:16" ht="12.75" customHeight="1" thickBot="1" x14ac:dyDescent="0.25">
      <c r="A19" s="10" t="str">
        <f t="shared" si="0"/>
        <v>BAVM 46 </v>
      </c>
      <c r="B19" s="16" t="str">
        <f t="shared" si="1"/>
        <v>I</v>
      </c>
      <c r="C19" s="10">
        <f t="shared" si="2"/>
        <v>46596.434000000001</v>
      </c>
      <c r="D19" s="13" t="str">
        <f t="shared" si="3"/>
        <v>vis</v>
      </c>
      <c r="E19" s="40">
        <f>VLOOKUP(C19,Active!C$21:E$972,3,FALSE)</f>
        <v>2288.989051022631</v>
      </c>
      <c r="F19" s="16" t="s">
        <v>65</v>
      </c>
      <c r="G19" s="13" t="str">
        <f t="shared" si="4"/>
        <v>46596.434</v>
      </c>
      <c r="H19" s="10">
        <f t="shared" si="5"/>
        <v>2289</v>
      </c>
      <c r="I19" s="41" t="s">
        <v>211</v>
      </c>
      <c r="J19" s="42" t="s">
        <v>212</v>
      </c>
      <c r="K19" s="41">
        <v>2289</v>
      </c>
      <c r="L19" s="41" t="s">
        <v>213</v>
      </c>
      <c r="M19" s="42" t="s">
        <v>71</v>
      </c>
      <c r="N19" s="42"/>
      <c r="O19" s="43" t="s">
        <v>214</v>
      </c>
      <c r="P19" s="44" t="s">
        <v>215</v>
      </c>
    </row>
    <row r="20" spans="1:16" ht="12.75" customHeight="1" thickBot="1" x14ac:dyDescent="0.25">
      <c r="A20" s="10" t="str">
        <f t="shared" si="0"/>
        <v>BAVM 46 </v>
      </c>
      <c r="B20" s="16" t="str">
        <f t="shared" si="1"/>
        <v>I</v>
      </c>
      <c r="C20" s="10">
        <f t="shared" si="2"/>
        <v>46596.451000000001</v>
      </c>
      <c r="D20" s="13" t="str">
        <f t="shared" si="3"/>
        <v>vis</v>
      </c>
      <c r="E20" s="40">
        <f>VLOOKUP(C20,Active!C$21:E$972,3,FALSE)</f>
        <v>2288.9924168927087</v>
      </c>
      <c r="F20" s="16" t="s">
        <v>65</v>
      </c>
      <c r="G20" s="13" t="str">
        <f t="shared" si="4"/>
        <v>46596.451</v>
      </c>
      <c r="H20" s="10">
        <f t="shared" si="5"/>
        <v>2289</v>
      </c>
      <c r="I20" s="41" t="s">
        <v>216</v>
      </c>
      <c r="J20" s="42" t="s">
        <v>217</v>
      </c>
      <c r="K20" s="41">
        <v>2289</v>
      </c>
      <c r="L20" s="41" t="s">
        <v>218</v>
      </c>
      <c r="M20" s="42" t="s">
        <v>71</v>
      </c>
      <c r="N20" s="42"/>
      <c r="O20" s="43" t="s">
        <v>219</v>
      </c>
      <c r="P20" s="44" t="s">
        <v>215</v>
      </c>
    </row>
    <row r="21" spans="1:16" ht="12.75" customHeight="1" thickBot="1" x14ac:dyDescent="0.25">
      <c r="A21" s="10" t="str">
        <f t="shared" si="0"/>
        <v>IBVS 5287 </v>
      </c>
      <c r="B21" s="16" t="str">
        <f t="shared" si="1"/>
        <v>I</v>
      </c>
      <c r="C21" s="10">
        <f t="shared" si="2"/>
        <v>51778.449500000002</v>
      </c>
      <c r="D21" s="13" t="str">
        <f t="shared" si="3"/>
        <v>vis</v>
      </c>
      <c r="E21" s="40">
        <f>VLOOKUP(C21,Active!C$21:E$972,3,FALSE)</f>
        <v>3314.9885164432662</v>
      </c>
      <c r="F21" s="16" t="s">
        <v>65</v>
      </c>
      <c r="G21" s="13" t="str">
        <f t="shared" si="4"/>
        <v>51778.4495</v>
      </c>
      <c r="H21" s="10">
        <f t="shared" si="5"/>
        <v>3315</v>
      </c>
      <c r="I21" s="41" t="s">
        <v>227</v>
      </c>
      <c r="J21" s="42" t="s">
        <v>228</v>
      </c>
      <c r="K21" s="41">
        <v>3315</v>
      </c>
      <c r="L21" s="41" t="s">
        <v>229</v>
      </c>
      <c r="M21" s="42" t="s">
        <v>223</v>
      </c>
      <c r="N21" s="42" t="s">
        <v>230</v>
      </c>
      <c r="O21" s="43" t="s">
        <v>231</v>
      </c>
      <c r="P21" s="44" t="s">
        <v>232</v>
      </c>
    </row>
    <row r="22" spans="1:16" ht="12.75" customHeight="1" thickBot="1" x14ac:dyDescent="0.25">
      <c r="A22" s="10" t="str">
        <f t="shared" si="0"/>
        <v>OEJV 0074 </v>
      </c>
      <c r="B22" s="16" t="str">
        <f t="shared" si="1"/>
        <v>I</v>
      </c>
      <c r="C22" s="10">
        <f t="shared" si="2"/>
        <v>52874.459069999997</v>
      </c>
      <c r="D22" s="13" t="str">
        <f t="shared" si="3"/>
        <v>vis</v>
      </c>
      <c r="E22" s="40">
        <f>VLOOKUP(C22,Active!C$21:E$972,3,FALSE)</f>
        <v>3531.9900350446469</v>
      </c>
      <c r="F22" s="16" t="s">
        <v>65</v>
      </c>
      <c r="G22" s="13" t="str">
        <f t="shared" si="4"/>
        <v>52874.45907</v>
      </c>
      <c r="H22" s="10">
        <f t="shared" si="5"/>
        <v>3532</v>
      </c>
      <c r="I22" s="41" t="s">
        <v>242</v>
      </c>
      <c r="J22" s="42" t="s">
        <v>243</v>
      </c>
      <c r="K22" s="41">
        <v>3532</v>
      </c>
      <c r="L22" s="41" t="s">
        <v>244</v>
      </c>
      <c r="M22" s="42" t="s">
        <v>245</v>
      </c>
      <c r="N22" s="42" t="s">
        <v>65</v>
      </c>
      <c r="O22" s="43" t="s">
        <v>246</v>
      </c>
      <c r="P22" s="44" t="s">
        <v>247</v>
      </c>
    </row>
    <row r="23" spans="1:16" ht="12.75" customHeight="1" thickBot="1" x14ac:dyDescent="0.25">
      <c r="A23" s="10" t="str">
        <f t="shared" si="0"/>
        <v>BAVM 238 </v>
      </c>
      <c r="B23" s="16" t="str">
        <f t="shared" si="1"/>
        <v>I</v>
      </c>
      <c r="C23" s="10">
        <f t="shared" si="2"/>
        <v>56864.493300000002</v>
      </c>
      <c r="D23" s="13" t="str">
        <f t="shared" si="3"/>
        <v>vis</v>
      </c>
      <c r="E23" s="40">
        <f>VLOOKUP(C23,Active!C$21:E$972,3,FALSE)</f>
        <v>4321.986318728098</v>
      </c>
      <c r="F23" s="16" t="s">
        <v>65</v>
      </c>
      <c r="G23" s="13" t="str">
        <f t="shared" si="4"/>
        <v>56864.4933</v>
      </c>
      <c r="H23" s="10">
        <f t="shared" si="5"/>
        <v>4322</v>
      </c>
      <c r="I23" s="41" t="s">
        <v>258</v>
      </c>
      <c r="J23" s="42" t="s">
        <v>259</v>
      </c>
      <c r="K23" s="41" t="s">
        <v>260</v>
      </c>
      <c r="L23" s="41" t="s">
        <v>250</v>
      </c>
      <c r="M23" s="42" t="s">
        <v>245</v>
      </c>
      <c r="N23" s="42" t="s">
        <v>251</v>
      </c>
      <c r="O23" s="43" t="s">
        <v>225</v>
      </c>
      <c r="P23" s="44" t="s">
        <v>261</v>
      </c>
    </row>
    <row r="24" spans="1:16" ht="12.75" customHeight="1" thickBot="1" x14ac:dyDescent="0.25">
      <c r="A24" s="10" t="str">
        <f t="shared" si="0"/>
        <v>BAVM 241 (=IBVS 6157) </v>
      </c>
      <c r="B24" s="16" t="str">
        <f t="shared" si="1"/>
        <v>I</v>
      </c>
      <c r="C24" s="10">
        <f t="shared" si="2"/>
        <v>57258.454100000003</v>
      </c>
      <c r="D24" s="13" t="str">
        <f t="shared" si="3"/>
        <v>vis</v>
      </c>
      <c r="E24" s="40">
        <f>VLOOKUP(C24,Active!C$21:E$972,3,FALSE)</f>
        <v>4399.9875462807149</v>
      </c>
      <c r="F24" s="16" t="s">
        <v>65</v>
      </c>
      <c r="G24" s="13" t="str">
        <f t="shared" si="4"/>
        <v>57258.4541</v>
      </c>
      <c r="H24" s="10">
        <f t="shared" si="5"/>
        <v>4400</v>
      </c>
      <c r="I24" s="41" t="s">
        <v>262</v>
      </c>
      <c r="J24" s="42" t="s">
        <v>263</v>
      </c>
      <c r="K24" s="41" t="s">
        <v>264</v>
      </c>
      <c r="L24" s="41" t="s">
        <v>265</v>
      </c>
      <c r="M24" s="42" t="s">
        <v>245</v>
      </c>
      <c r="N24" s="42" t="s">
        <v>65</v>
      </c>
      <c r="O24" s="43" t="s">
        <v>266</v>
      </c>
      <c r="P24" s="44" t="s">
        <v>267</v>
      </c>
    </row>
    <row r="25" spans="1:16" ht="12.75" customHeight="1" thickBot="1" x14ac:dyDescent="0.25">
      <c r="A25" s="10" t="str">
        <f t="shared" si="0"/>
        <v> AN 180.64 </v>
      </c>
      <c r="B25" s="16" t="str">
        <f t="shared" si="1"/>
        <v>I</v>
      </c>
      <c r="C25" s="10">
        <f t="shared" si="2"/>
        <v>17883.25</v>
      </c>
      <c r="D25" s="13" t="str">
        <f t="shared" si="3"/>
        <v>vis</v>
      </c>
      <c r="E25" s="40">
        <f>VLOOKUP(C25,Active!C$21:E$972,3,FALSE)</f>
        <v>-3396.0019403251031</v>
      </c>
      <c r="F25" s="16" t="s">
        <v>65</v>
      </c>
      <c r="G25" s="13" t="str">
        <f t="shared" si="4"/>
        <v>17883.25</v>
      </c>
      <c r="H25" s="10">
        <f t="shared" si="5"/>
        <v>-3396</v>
      </c>
      <c r="I25" s="41" t="s">
        <v>68</v>
      </c>
      <c r="J25" s="42" t="s">
        <v>69</v>
      </c>
      <c r="K25" s="41">
        <v>-3396</v>
      </c>
      <c r="L25" s="41" t="s">
        <v>70</v>
      </c>
      <c r="M25" s="42" t="s">
        <v>71</v>
      </c>
      <c r="N25" s="42"/>
      <c r="O25" s="43" t="s">
        <v>72</v>
      </c>
      <c r="P25" s="43" t="s">
        <v>73</v>
      </c>
    </row>
    <row r="26" spans="1:16" ht="12.75" customHeight="1" thickBot="1" x14ac:dyDescent="0.25">
      <c r="A26" s="10" t="str">
        <f t="shared" si="0"/>
        <v> AN 194.166 </v>
      </c>
      <c r="B26" s="16" t="str">
        <f t="shared" si="1"/>
        <v>I</v>
      </c>
      <c r="C26" s="10">
        <f t="shared" si="2"/>
        <v>19600.502</v>
      </c>
      <c r="D26" s="13" t="str">
        <f t="shared" si="3"/>
        <v>vis</v>
      </c>
      <c r="E26" s="40">
        <f>VLOOKUP(C26,Active!C$21:E$972,3,FALSE)</f>
        <v>-3055.999168432098</v>
      </c>
      <c r="F26" s="16" t="s">
        <v>65</v>
      </c>
      <c r="G26" s="13" t="str">
        <f t="shared" si="4"/>
        <v>19600.502</v>
      </c>
      <c r="H26" s="10">
        <f t="shared" si="5"/>
        <v>-3056</v>
      </c>
      <c r="I26" s="41" t="s">
        <v>74</v>
      </c>
      <c r="J26" s="42" t="s">
        <v>75</v>
      </c>
      <c r="K26" s="41">
        <v>-3056</v>
      </c>
      <c r="L26" s="41" t="s">
        <v>76</v>
      </c>
      <c r="M26" s="42" t="s">
        <v>71</v>
      </c>
      <c r="N26" s="42"/>
      <c r="O26" s="43" t="s">
        <v>77</v>
      </c>
      <c r="P26" s="43" t="s">
        <v>78</v>
      </c>
    </row>
    <row r="27" spans="1:16" ht="12.75" customHeight="1" thickBot="1" x14ac:dyDescent="0.25">
      <c r="A27" s="10" t="str">
        <f t="shared" si="0"/>
        <v> APJ 50.141 </v>
      </c>
      <c r="B27" s="16" t="str">
        <f t="shared" si="1"/>
        <v>I</v>
      </c>
      <c r="C27" s="10">
        <f t="shared" si="2"/>
        <v>20661.474900000001</v>
      </c>
      <c r="D27" s="13" t="str">
        <f t="shared" si="3"/>
        <v>vis</v>
      </c>
      <c r="E27" s="40">
        <f>VLOOKUP(C27,Active!C$21:E$972,3,FALSE)</f>
        <v>-2845.9346427227902</v>
      </c>
      <c r="F27" s="16" t="s">
        <v>65</v>
      </c>
      <c r="G27" s="13" t="str">
        <f t="shared" si="4"/>
        <v>20661.4749</v>
      </c>
      <c r="H27" s="10">
        <f t="shared" si="5"/>
        <v>-2846</v>
      </c>
      <c r="I27" s="41" t="s">
        <v>79</v>
      </c>
      <c r="J27" s="42" t="s">
        <v>80</v>
      </c>
      <c r="K27" s="41">
        <v>-2846</v>
      </c>
      <c r="L27" s="41" t="s">
        <v>81</v>
      </c>
      <c r="M27" s="42" t="s">
        <v>67</v>
      </c>
      <c r="N27" s="42"/>
      <c r="O27" s="43" t="s">
        <v>82</v>
      </c>
      <c r="P27" s="43" t="s">
        <v>83</v>
      </c>
    </row>
    <row r="28" spans="1:16" ht="12.75" customHeight="1" thickBot="1" x14ac:dyDescent="0.25">
      <c r="A28" s="10" t="str">
        <f t="shared" si="0"/>
        <v> AAC 1.4 </v>
      </c>
      <c r="B28" s="16" t="str">
        <f t="shared" si="1"/>
        <v>I</v>
      </c>
      <c r="C28" s="10">
        <f t="shared" si="2"/>
        <v>24388.566999999999</v>
      </c>
      <c r="D28" s="13" t="str">
        <f t="shared" si="3"/>
        <v>vis</v>
      </c>
      <c r="E28" s="40">
        <f>VLOOKUP(C28,Active!C$21:E$972,3,FALSE)</f>
        <v>-2107.998891242798</v>
      </c>
      <c r="F28" s="16" t="s">
        <v>65</v>
      </c>
      <c r="G28" s="13" t="str">
        <f t="shared" si="4"/>
        <v>24388.567</v>
      </c>
      <c r="H28" s="10">
        <f t="shared" si="5"/>
        <v>-2108</v>
      </c>
      <c r="I28" s="41" t="s">
        <v>84</v>
      </c>
      <c r="J28" s="42" t="s">
        <v>85</v>
      </c>
      <c r="K28" s="41">
        <v>-2108</v>
      </c>
      <c r="L28" s="41" t="s">
        <v>86</v>
      </c>
      <c r="M28" s="42" t="s">
        <v>71</v>
      </c>
      <c r="N28" s="42"/>
      <c r="O28" s="43" t="s">
        <v>87</v>
      </c>
      <c r="P28" s="43" t="s">
        <v>88</v>
      </c>
    </row>
    <row r="29" spans="1:16" ht="12.75" customHeight="1" thickBot="1" x14ac:dyDescent="0.25">
      <c r="A29" s="10" t="str">
        <f t="shared" si="0"/>
        <v> AA 6.110 </v>
      </c>
      <c r="B29" s="16" t="str">
        <f t="shared" si="1"/>
        <v>I</v>
      </c>
      <c r="C29" s="10">
        <f t="shared" si="2"/>
        <v>25565.384999999998</v>
      </c>
      <c r="D29" s="13" t="str">
        <f t="shared" si="3"/>
        <v>vis</v>
      </c>
      <c r="E29" s="40">
        <f>VLOOKUP(C29,Active!C$21:E$972,3,FALSE)</f>
        <v>-1874.9979210802462</v>
      </c>
      <c r="F29" s="16" t="s">
        <v>65</v>
      </c>
      <c r="G29" s="13" t="str">
        <f t="shared" si="4"/>
        <v>25565.385</v>
      </c>
      <c r="H29" s="10">
        <f t="shared" si="5"/>
        <v>-1875</v>
      </c>
      <c r="I29" s="41" t="s">
        <v>89</v>
      </c>
      <c r="J29" s="42" t="s">
        <v>90</v>
      </c>
      <c r="K29" s="41">
        <v>-1875</v>
      </c>
      <c r="L29" s="41" t="s">
        <v>91</v>
      </c>
      <c r="M29" s="42" t="s">
        <v>71</v>
      </c>
      <c r="N29" s="42"/>
      <c r="O29" s="43" t="s">
        <v>92</v>
      </c>
      <c r="P29" s="43" t="s">
        <v>93</v>
      </c>
    </row>
    <row r="30" spans="1:16" ht="12.75" customHeight="1" thickBot="1" x14ac:dyDescent="0.25">
      <c r="A30" s="10" t="str">
        <f t="shared" si="0"/>
        <v> HA 113.77 </v>
      </c>
      <c r="B30" s="16" t="str">
        <f t="shared" si="1"/>
        <v>I</v>
      </c>
      <c r="C30" s="10">
        <f t="shared" si="2"/>
        <v>28464.486000000001</v>
      </c>
      <c r="D30" s="13" t="str">
        <f t="shared" si="3"/>
        <v>vis</v>
      </c>
      <c r="E30" s="40">
        <f>VLOOKUP(C30,Active!C$21:E$972,3,FALSE)</f>
        <v>-1300.9980794741318</v>
      </c>
      <c r="F30" s="16" t="s">
        <v>65</v>
      </c>
      <c r="G30" s="13" t="str">
        <f t="shared" si="4"/>
        <v>28464.486</v>
      </c>
      <c r="H30" s="10">
        <f t="shared" si="5"/>
        <v>-1301</v>
      </c>
      <c r="I30" s="41" t="s">
        <v>94</v>
      </c>
      <c r="J30" s="42" t="s">
        <v>95</v>
      </c>
      <c r="K30" s="41">
        <v>-1301</v>
      </c>
      <c r="L30" s="41" t="s">
        <v>91</v>
      </c>
      <c r="M30" s="42" t="s">
        <v>67</v>
      </c>
      <c r="N30" s="42"/>
      <c r="O30" s="43" t="s">
        <v>96</v>
      </c>
      <c r="P30" s="43" t="s">
        <v>97</v>
      </c>
    </row>
    <row r="31" spans="1:16" ht="12.75" customHeight="1" thickBot="1" x14ac:dyDescent="0.25">
      <c r="A31" s="10" t="str">
        <f t="shared" si="0"/>
        <v> SAC 17.65 </v>
      </c>
      <c r="B31" s="16" t="str">
        <f t="shared" si="1"/>
        <v>I</v>
      </c>
      <c r="C31" s="10">
        <f t="shared" si="2"/>
        <v>29232.12</v>
      </c>
      <c r="D31" s="13" t="str">
        <f t="shared" si="3"/>
        <v>vis</v>
      </c>
      <c r="E31" s="40">
        <f>VLOOKUP(C31,Active!C$21:E$972,3,FALSE)</f>
        <v>-1149.0124141208148</v>
      </c>
      <c r="F31" s="16" t="s">
        <v>65</v>
      </c>
      <c r="G31" s="13" t="str">
        <f t="shared" si="4"/>
        <v>29232.12</v>
      </c>
      <c r="H31" s="10">
        <f t="shared" si="5"/>
        <v>-1149</v>
      </c>
      <c r="I31" s="41" t="s">
        <v>98</v>
      </c>
      <c r="J31" s="42" t="s">
        <v>99</v>
      </c>
      <c r="K31" s="41">
        <v>-1149</v>
      </c>
      <c r="L31" s="41" t="s">
        <v>100</v>
      </c>
      <c r="M31" s="42" t="s">
        <v>71</v>
      </c>
      <c r="N31" s="42"/>
      <c r="O31" s="43" t="s">
        <v>101</v>
      </c>
      <c r="P31" s="43" t="s">
        <v>102</v>
      </c>
    </row>
    <row r="32" spans="1:16" ht="12.75" customHeight="1" thickBot="1" x14ac:dyDescent="0.25">
      <c r="A32" s="10" t="str">
        <f t="shared" si="0"/>
        <v> BTAD 35.36 </v>
      </c>
      <c r="B32" s="16" t="str">
        <f t="shared" si="1"/>
        <v>I</v>
      </c>
      <c r="C32" s="10">
        <f t="shared" si="2"/>
        <v>33040.411</v>
      </c>
      <c r="D32" s="13" t="str">
        <f t="shared" si="3"/>
        <v>vis</v>
      </c>
      <c r="E32" s="40">
        <f>VLOOKUP(C32,Active!C$21:E$972,3,FALSE)</f>
        <v>-394.99990100382087</v>
      </c>
      <c r="F32" s="16" t="s">
        <v>65</v>
      </c>
      <c r="G32" s="13" t="str">
        <f t="shared" si="4"/>
        <v>33040.411</v>
      </c>
      <c r="H32" s="10">
        <f t="shared" si="5"/>
        <v>-395</v>
      </c>
      <c r="I32" s="41" t="s">
        <v>103</v>
      </c>
      <c r="J32" s="42" t="s">
        <v>104</v>
      </c>
      <c r="K32" s="41">
        <v>-395</v>
      </c>
      <c r="L32" s="41" t="s">
        <v>105</v>
      </c>
      <c r="M32" s="42" t="s">
        <v>67</v>
      </c>
      <c r="N32" s="42"/>
      <c r="O32" s="43" t="s">
        <v>106</v>
      </c>
      <c r="P32" s="43" t="s">
        <v>107</v>
      </c>
    </row>
    <row r="33" spans="1:16" ht="12.75" customHeight="1" thickBot="1" x14ac:dyDescent="0.25">
      <c r="A33" s="10" t="str">
        <f t="shared" si="0"/>
        <v> AJ 64.262 </v>
      </c>
      <c r="B33" s="16" t="str">
        <f t="shared" si="1"/>
        <v>I</v>
      </c>
      <c r="C33" s="10">
        <f t="shared" si="2"/>
        <v>33651.553999999996</v>
      </c>
      <c r="D33" s="13" t="str">
        <f t="shared" si="3"/>
        <v>vis</v>
      </c>
      <c r="E33" s="40">
        <f>VLOOKUP(C33,Active!C$21:E$972,3,FALSE)</f>
        <v>-273.99825766725439</v>
      </c>
      <c r="F33" s="16" t="s">
        <v>65</v>
      </c>
      <c r="G33" s="13" t="str">
        <f t="shared" si="4"/>
        <v>33651.554</v>
      </c>
      <c r="H33" s="10">
        <f t="shared" si="5"/>
        <v>-274</v>
      </c>
      <c r="I33" s="41" t="s">
        <v>108</v>
      </c>
      <c r="J33" s="42" t="s">
        <v>109</v>
      </c>
      <c r="K33" s="41">
        <v>-274</v>
      </c>
      <c r="L33" s="41" t="s">
        <v>110</v>
      </c>
      <c r="M33" s="42" t="s">
        <v>67</v>
      </c>
      <c r="N33" s="42"/>
      <c r="O33" s="43" t="s">
        <v>111</v>
      </c>
      <c r="P33" s="43" t="s">
        <v>112</v>
      </c>
    </row>
    <row r="34" spans="1:16" ht="12.75" customHeight="1" thickBot="1" x14ac:dyDescent="0.25">
      <c r="A34" s="10" t="str">
        <f t="shared" si="0"/>
        <v> AJ 64.262 </v>
      </c>
      <c r="B34" s="16" t="str">
        <f t="shared" si="1"/>
        <v>I</v>
      </c>
      <c r="C34" s="10">
        <f t="shared" si="2"/>
        <v>33949.548000000003</v>
      </c>
      <c r="D34" s="13" t="str">
        <f t="shared" si="3"/>
        <v>vis</v>
      </c>
      <c r="E34" s="40">
        <f>VLOOKUP(C34,Active!C$21:E$972,3,FALSE)</f>
        <v>-214.99772308788792</v>
      </c>
      <c r="F34" s="16" t="s">
        <v>65</v>
      </c>
      <c r="G34" s="13" t="str">
        <f t="shared" si="4"/>
        <v>33949.548</v>
      </c>
      <c r="H34" s="10">
        <f t="shared" si="5"/>
        <v>-215</v>
      </c>
      <c r="I34" s="41" t="s">
        <v>113</v>
      </c>
      <c r="J34" s="42" t="s">
        <v>114</v>
      </c>
      <c r="K34" s="41">
        <v>-215</v>
      </c>
      <c r="L34" s="41" t="s">
        <v>115</v>
      </c>
      <c r="M34" s="42" t="s">
        <v>67</v>
      </c>
      <c r="N34" s="42"/>
      <c r="O34" s="43" t="s">
        <v>111</v>
      </c>
      <c r="P34" s="43" t="s">
        <v>112</v>
      </c>
    </row>
    <row r="35" spans="1:16" ht="12.75" customHeight="1" thickBot="1" x14ac:dyDescent="0.25">
      <c r="A35" s="10" t="str">
        <f t="shared" si="0"/>
        <v> AAC 5.195 </v>
      </c>
      <c r="B35" s="16" t="str">
        <f t="shared" si="1"/>
        <v>I</v>
      </c>
      <c r="C35" s="10">
        <f t="shared" si="2"/>
        <v>35035.430999999997</v>
      </c>
      <c r="D35" s="13" t="str">
        <f t="shared" si="3"/>
        <v>vis</v>
      </c>
      <c r="E35" s="40">
        <f>VLOOKUP(C35,Active!C$21:E$972,3,FALSE)</f>
        <v>-1.1879541452120223E-3</v>
      </c>
      <c r="F35" s="16" t="s">
        <v>65</v>
      </c>
      <c r="G35" s="13" t="str">
        <f t="shared" si="4"/>
        <v>35035.431</v>
      </c>
      <c r="H35" s="10">
        <f t="shared" si="5"/>
        <v>0</v>
      </c>
      <c r="I35" s="41" t="s">
        <v>116</v>
      </c>
      <c r="J35" s="42" t="s">
        <v>117</v>
      </c>
      <c r="K35" s="41">
        <v>0</v>
      </c>
      <c r="L35" s="41" t="s">
        <v>118</v>
      </c>
      <c r="M35" s="42" t="s">
        <v>71</v>
      </c>
      <c r="N35" s="42"/>
      <c r="O35" s="43" t="s">
        <v>119</v>
      </c>
      <c r="P35" s="43" t="s">
        <v>120</v>
      </c>
    </row>
    <row r="36" spans="1:16" ht="12.75" customHeight="1" thickBot="1" x14ac:dyDescent="0.25">
      <c r="A36" s="10" t="str">
        <f t="shared" si="0"/>
        <v> AA 7.190 </v>
      </c>
      <c r="B36" s="16" t="str">
        <f t="shared" si="1"/>
        <v>I</v>
      </c>
      <c r="C36" s="10">
        <f t="shared" si="2"/>
        <v>35631.406000000003</v>
      </c>
      <c r="D36" s="13" t="str">
        <f t="shared" si="3"/>
        <v>vis</v>
      </c>
      <c r="E36" s="40">
        <f>VLOOKUP(C36,Active!C$21:E$972,3,FALSE)</f>
        <v>117.99730730393898</v>
      </c>
      <c r="F36" s="16" t="s">
        <v>65</v>
      </c>
      <c r="G36" s="13" t="str">
        <f t="shared" si="4"/>
        <v>35631.406</v>
      </c>
      <c r="H36" s="10">
        <f t="shared" si="5"/>
        <v>118</v>
      </c>
      <c r="I36" s="41" t="s">
        <v>121</v>
      </c>
      <c r="J36" s="42" t="s">
        <v>122</v>
      </c>
      <c r="K36" s="41">
        <v>118</v>
      </c>
      <c r="L36" s="41" t="s">
        <v>123</v>
      </c>
      <c r="M36" s="42" t="s">
        <v>71</v>
      </c>
      <c r="N36" s="42"/>
      <c r="O36" s="43" t="s">
        <v>119</v>
      </c>
      <c r="P36" s="43" t="s">
        <v>124</v>
      </c>
    </row>
    <row r="37" spans="1:16" ht="12.75" customHeight="1" thickBot="1" x14ac:dyDescent="0.25">
      <c r="A37" s="10" t="str">
        <f t="shared" si="0"/>
        <v> MVS 3.121 </v>
      </c>
      <c r="B37" s="16" t="str">
        <f t="shared" si="1"/>
        <v>I</v>
      </c>
      <c r="C37" s="10">
        <f t="shared" si="2"/>
        <v>35722.428999999996</v>
      </c>
      <c r="D37" s="13" t="str">
        <f t="shared" si="3"/>
        <v>vis</v>
      </c>
      <c r="E37" s="40">
        <f>VLOOKUP(C37,Active!C$21:E$972,3,FALSE)</f>
        <v>136.0191656602052</v>
      </c>
      <c r="F37" s="16" t="s">
        <v>65</v>
      </c>
      <c r="G37" s="13" t="str">
        <f t="shared" si="4"/>
        <v>35722.429</v>
      </c>
      <c r="H37" s="10">
        <f t="shared" si="5"/>
        <v>136</v>
      </c>
      <c r="I37" s="41" t="s">
        <v>125</v>
      </c>
      <c r="J37" s="42" t="s">
        <v>126</v>
      </c>
      <c r="K37" s="41">
        <v>136</v>
      </c>
      <c r="L37" s="41" t="s">
        <v>127</v>
      </c>
      <c r="M37" s="42" t="s">
        <v>128</v>
      </c>
      <c r="N37" s="42"/>
      <c r="O37" s="43" t="s">
        <v>129</v>
      </c>
      <c r="P37" s="43" t="s">
        <v>130</v>
      </c>
    </row>
    <row r="38" spans="1:16" ht="12.75" customHeight="1" thickBot="1" x14ac:dyDescent="0.25">
      <c r="A38" s="10" t="str">
        <f t="shared" si="0"/>
        <v> MVS 3.121 </v>
      </c>
      <c r="B38" s="16" t="str">
        <f t="shared" si="1"/>
        <v>I</v>
      </c>
      <c r="C38" s="10">
        <f t="shared" si="2"/>
        <v>36025.463000000003</v>
      </c>
      <c r="D38" s="13" t="str">
        <f t="shared" si="3"/>
        <v>vis</v>
      </c>
      <c r="E38" s="40">
        <f>VLOOKUP(C38,Active!C$21:E$972,3,FALSE)</f>
        <v>196.0175817213466</v>
      </c>
      <c r="F38" s="16" t="s">
        <v>65</v>
      </c>
      <c r="G38" s="13" t="str">
        <f t="shared" si="4"/>
        <v>36025.463</v>
      </c>
      <c r="H38" s="10">
        <f t="shared" si="5"/>
        <v>196</v>
      </c>
      <c r="I38" s="41" t="s">
        <v>131</v>
      </c>
      <c r="J38" s="42" t="s">
        <v>132</v>
      </c>
      <c r="K38" s="41">
        <v>196</v>
      </c>
      <c r="L38" s="41" t="s">
        <v>133</v>
      </c>
      <c r="M38" s="42" t="s">
        <v>128</v>
      </c>
      <c r="N38" s="42"/>
      <c r="O38" s="43" t="s">
        <v>129</v>
      </c>
      <c r="P38" s="43" t="s">
        <v>130</v>
      </c>
    </row>
    <row r="39" spans="1:16" ht="12.75" customHeight="1" thickBot="1" x14ac:dyDescent="0.25">
      <c r="A39" s="10" t="str">
        <f t="shared" si="0"/>
        <v> MVS 3.121 </v>
      </c>
      <c r="B39" s="16" t="str">
        <f t="shared" si="1"/>
        <v>I</v>
      </c>
      <c r="C39" s="10">
        <f t="shared" si="2"/>
        <v>36434.478999999999</v>
      </c>
      <c r="D39" s="13" t="str">
        <f t="shared" si="3"/>
        <v>vis</v>
      </c>
      <c r="E39" s="40">
        <f>VLOOKUP(C39,Active!C$21:E$972,3,FALSE)</f>
        <v>276.99962381452099</v>
      </c>
      <c r="F39" s="16" t="s">
        <v>65</v>
      </c>
      <c r="G39" s="13" t="str">
        <f t="shared" si="4"/>
        <v>36434.479</v>
      </c>
      <c r="H39" s="10">
        <f t="shared" si="5"/>
        <v>277</v>
      </c>
      <c r="I39" s="41" t="s">
        <v>134</v>
      </c>
      <c r="J39" s="42" t="s">
        <v>135</v>
      </c>
      <c r="K39" s="41">
        <v>277</v>
      </c>
      <c r="L39" s="41" t="s">
        <v>136</v>
      </c>
      <c r="M39" s="42" t="s">
        <v>128</v>
      </c>
      <c r="N39" s="42"/>
      <c r="O39" s="43" t="s">
        <v>129</v>
      </c>
      <c r="P39" s="43" t="s">
        <v>130</v>
      </c>
    </row>
    <row r="40" spans="1:16" ht="12.75" customHeight="1" thickBot="1" x14ac:dyDescent="0.25">
      <c r="A40" s="10" t="str">
        <f t="shared" si="0"/>
        <v> AJ 64.262 </v>
      </c>
      <c r="B40" s="16" t="str">
        <f t="shared" si="1"/>
        <v>I</v>
      </c>
      <c r="C40" s="10">
        <f t="shared" si="2"/>
        <v>36459.74</v>
      </c>
      <c r="D40" s="13" t="str">
        <f t="shared" si="3"/>
        <v>vis</v>
      </c>
      <c r="E40" s="40">
        <f>VLOOKUP(C40,Active!C$21:E$972,3,FALSE)</f>
        <v>282.00110875720196</v>
      </c>
      <c r="F40" s="16" t="s">
        <v>65</v>
      </c>
      <c r="G40" s="13" t="str">
        <f t="shared" si="4"/>
        <v>36459.740</v>
      </c>
      <c r="H40" s="10">
        <f t="shared" si="5"/>
        <v>282</v>
      </c>
      <c r="I40" s="41" t="s">
        <v>137</v>
      </c>
      <c r="J40" s="42" t="s">
        <v>138</v>
      </c>
      <c r="K40" s="41">
        <v>282</v>
      </c>
      <c r="L40" s="41" t="s">
        <v>86</v>
      </c>
      <c r="M40" s="42" t="s">
        <v>67</v>
      </c>
      <c r="N40" s="42"/>
      <c r="O40" s="43" t="s">
        <v>111</v>
      </c>
      <c r="P40" s="43" t="s">
        <v>112</v>
      </c>
    </row>
    <row r="41" spans="1:16" ht="12.75" customHeight="1" thickBot="1" x14ac:dyDescent="0.25">
      <c r="A41" s="10" t="str">
        <f t="shared" si="0"/>
        <v> AJ 64.262 </v>
      </c>
      <c r="B41" s="16" t="str">
        <f t="shared" si="1"/>
        <v>I</v>
      </c>
      <c r="C41" s="10">
        <f t="shared" si="2"/>
        <v>36540.555999999997</v>
      </c>
      <c r="D41" s="13" t="str">
        <f t="shared" si="3"/>
        <v>vis</v>
      </c>
      <c r="E41" s="40">
        <f>VLOOKUP(C41,Active!C$21:E$972,3,FALSE)</f>
        <v>298.00205912051769</v>
      </c>
      <c r="F41" s="16" t="s">
        <v>65</v>
      </c>
      <c r="G41" s="13" t="str">
        <f t="shared" si="4"/>
        <v>36540.556</v>
      </c>
      <c r="H41" s="10">
        <f t="shared" si="5"/>
        <v>298</v>
      </c>
      <c r="I41" s="41" t="s">
        <v>139</v>
      </c>
      <c r="J41" s="42" t="s">
        <v>140</v>
      </c>
      <c r="K41" s="41">
        <v>298</v>
      </c>
      <c r="L41" s="41" t="s">
        <v>91</v>
      </c>
      <c r="M41" s="42" t="s">
        <v>67</v>
      </c>
      <c r="N41" s="42"/>
      <c r="O41" s="43" t="s">
        <v>111</v>
      </c>
      <c r="P41" s="43" t="s">
        <v>112</v>
      </c>
    </row>
    <row r="42" spans="1:16" ht="12.75" customHeight="1" thickBot="1" x14ac:dyDescent="0.25">
      <c r="A42" s="10" t="str">
        <f t="shared" si="0"/>
        <v> AA 10.70 </v>
      </c>
      <c r="B42" s="16" t="str">
        <f t="shared" si="1"/>
        <v>I</v>
      </c>
      <c r="C42" s="10">
        <f t="shared" si="2"/>
        <v>36727.39</v>
      </c>
      <c r="D42" s="13" t="str">
        <f t="shared" si="3"/>
        <v>vis</v>
      </c>
      <c r="E42" s="40">
        <f>VLOOKUP(C42,Active!C$21:E$972,3,FALSE)</f>
        <v>334.99376324073916</v>
      </c>
      <c r="F42" s="16" t="s">
        <v>65</v>
      </c>
      <c r="G42" s="13" t="str">
        <f t="shared" si="4"/>
        <v>36727.390</v>
      </c>
      <c r="H42" s="10">
        <f t="shared" si="5"/>
        <v>335</v>
      </c>
      <c r="I42" s="41" t="s">
        <v>141</v>
      </c>
      <c r="J42" s="42" t="s">
        <v>142</v>
      </c>
      <c r="K42" s="41">
        <v>335</v>
      </c>
      <c r="L42" s="41" t="s">
        <v>143</v>
      </c>
      <c r="M42" s="42" t="s">
        <v>71</v>
      </c>
      <c r="N42" s="42"/>
      <c r="O42" s="43" t="s">
        <v>119</v>
      </c>
      <c r="P42" s="43" t="s">
        <v>144</v>
      </c>
    </row>
    <row r="43" spans="1:16" ht="12.75" customHeight="1" thickBot="1" x14ac:dyDescent="0.25">
      <c r="A43" s="10" t="str">
        <f t="shared" si="0"/>
        <v> MVS 3.121 </v>
      </c>
      <c r="B43" s="16" t="str">
        <f t="shared" si="1"/>
        <v>I</v>
      </c>
      <c r="C43" s="10">
        <f t="shared" si="2"/>
        <v>37934.427000000003</v>
      </c>
      <c r="D43" s="13" t="str">
        <f t="shared" si="3"/>
        <v>vis</v>
      </c>
      <c r="E43" s="40">
        <f>VLOOKUP(C43,Active!C$21:E$972,3,FALSE)</f>
        <v>573.97786445443307</v>
      </c>
      <c r="F43" s="16" t="s">
        <v>65</v>
      </c>
      <c r="G43" s="13" t="str">
        <f t="shared" si="4"/>
        <v>37934.427</v>
      </c>
      <c r="H43" s="10">
        <f t="shared" si="5"/>
        <v>574</v>
      </c>
      <c r="I43" s="41" t="s">
        <v>145</v>
      </c>
      <c r="J43" s="42" t="s">
        <v>146</v>
      </c>
      <c r="K43" s="41">
        <v>574</v>
      </c>
      <c r="L43" s="41" t="s">
        <v>147</v>
      </c>
      <c r="M43" s="42" t="s">
        <v>128</v>
      </c>
      <c r="N43" s="42"/>
      <c r="O43" s="43" t="s">
        <v>129</v>
      </c>
      <c r="P43" s="43" t="s">
        <v>130</v>
      </c>
    </row>
    <row r="44" spans="1:16" ht="12.75" customHeight="1" thickBot="1" x14ac:dyDescent="0.25">
      <c r="A44" s="10" t="str">
        <f t="shared" si="0"/>
        <v> MVS 3.121 </v>
      </c>
      <c r="B44" s="16" t="str">
        <f t="shared" si="1"/>
        <v>I</v>
      </c>
      <c r="C44" s="10">
        <f t="shared" si="2"/>
        <v>38146.582000000002</v>
      </c>
      <c r="D44" s="13" t="str">
        <f t="shared" si="3"/>
        <v>vis</v>
      </c>
      <c r="E44" s="40">
        <f>VLOOKUP(C44,Active!C$21:E$972,3,FALSE)</f>
        <v>615.98293305878474</v>
      </c>
      <c r="F44" s="16" t="s">
        <v>65</v>
      </c>
      <c r="G44" s="13" t="str">
        <f t="shared" si="4"/>
        <v>38146.582</v>
      </c>
      <c r="H44" s="10">
        <f t="shared" si="5"/>
        <v>616</v>
      </c>
      <c r="I44" s="41" t="s">
        <v>148</v>
      </c>
      <c r="J44" s="42" t="s">
        <v>149</v>
      </c>
      <c r="K44" s="41">
        <v>616</v>
      </c>
      <c r="L44" s="41" t="s">
        <v>150</v>
      </c>
      <c r="M44" s="42" t="s">
        <v>128</v>
      </c>
      <c r="N44" s="42"/>
      <c r="O44" s="43" t="s">
        <v>129</v>
      </c>
      <c r="P44" s="43" t="s">
        <v>130</v>
      </c>
    </row>
    <row r="45" spans="1:16" ht="12.75" customHeight="1" thickBot="1" x14ac:dyDescent="0.25">
      <c r="A45" s="10" t="str">
        <f t="shared" si="0"/>
        <v> HABZ 15 </v>
      </c>
      <c r="B45" s="16" t="str">
        <f t="shared" si="1"/>
        <v>I</v>
      </c>
      <c r="C45" s="10">
        <f t="shared" si="2"/>
        <v>38232.512999999999</v>
      </c>
      <c r="D45" s="13" t="str">
        <f t="shared" si="3"/>
        <v>vis</v>
      </c>
      <c r="E45" s="40">
        <f>VLOOKUP(C45,Active!C$21:E$972,3,FALSE)</f>
        <v>632.99661433068707</v>
      </c>
      <c r="F45" s="16" t="s">
        <v>65</v>
      </c>
      <c r="G45" s="13" t="str">
        <f t="shared" si="4"/>
        <v>38232.513</v>
      </c>
      <c r="H45" s="10">
        <f t="shared" si="5"/>
        <v>633</v>
      </c>
      <c r="I45" s="41" t="s">
        <v>151</v>
      </c>
      <c r="J45" s="42" t="s">
        <v>152</v>
      </c>
      <c r="K45" s="41">
        <v>633</v>
      </c>
      <c r="L45" s="41" t="s">
        <v>153</v>
      </c>
      <c r="M45" s="42" t="s">
        <v>128</v>
      </c>
      <c r="N45" s="42"/>
      <c r="O45" s="43" t="s">
        <v>154</v>
      </c>
      <c r="P45" s="43" t="s">
        <v>155</v>
      </c>
    </row>
    <row r="46" spans="1:16" ht="12.75" customHeight="1" thickBot="1" x14ac:dyDescent="0.25">
      <c r="A46" s="10" t="str">
        <f t="shared" si="0"/>
        <v> MVS 3.121 </v>
      </c>
      <c r="B46" s="16" t="str">
        <f t="shared" si="1"/>
        <v>I</v>
      </c>
      <c r="C46" s="10">
        <f t="shared" si="2"/>
        <v>38237.531999999999</v>
      </c>
      <c r="D46" s="13" t="str">
        <f t="shared" si="3"/>
        <v>vis</v>
      </c>
      <c r="E46" s="40">
        <f>VLOOKUP(C46,Active!C$21:E$972,3,FALSE)</f>
        <v>633.99033797295453</v>
      </c>
      <c r="F46" s="16" t="s">
        <v>65</v>
      </c>
      <c r="G46" s="13" t="str">
        <f t="shared" si="4"/>
        <v>38237.532</v>
      </c>
      <c r="H46" s="10">
        <f t="shared" si="5"/>
        <v>634</v>
      </c>
      <c r="I46" s="41" t="s">
        <v>156</v>
      </c>
      <c r="J46" s="42" t="s">
        <v>157</v>
      </c>
      <c r="K46" s="41">
        <v>634</v>
      </c>
      <c r="L46" s="41" t="s">
        <v>158</v>
      </c>
      <c r="M46" s="42" t="s">
        <v>128</v>
      </c>
      <c r="N46" s="42"/>
      <c r="O46" s="43" t="s">
        <v>129</v>
      </c>
      <c r="P46" s="43" t="s">
        <v>130</v>
      </c>
    </row>
    <row r="47" spans="1:16" ht="12.75" customHeight="1" thickBot="1" x14ac:dyDescent="0.25">
      <c r="A47" s="10" t="str">
        <f t="shared" si="0"/>
        <v> MVS 3.121 </v>
      </c>
      <c r="B47" s="16" t="str">
        <f t="shared" si="1"/>
        <v>I</v>
      </c>
      <c r="C47" s="10">
        <f t="shared" si="2"/>
        <v>38399.22</v>
      </c>
      <c r="D47" s="13" t="str">
        <f t="shared" si="3"/>
        <v>vis</v>
      </c>
      <c r="E47" s="40">
        <f>VLOOKUP(C47,Active!C$21:E$972,3,FALSE)</f>
        <v>666.00332627160651</v>
      </c>
      <c r="F47" s="16" t="s">
        <v>65</v>
      </c>
      <c r="G47" s="13" t="str">
        <f t="shared" si="4"/>
        <v>38399.220</v>
      </c>
      <c r="H47" s="10">
        <f t="shared" si="5"/>
        <v>666</v>
      </c>
      <c r="I47" s="41" t="s">
        <v>159</v>
      </c>
      <c r="J47" s="42" t="s">
        <v>160</v>
      </c>
      <c r="K47" s="41">
        <v>666</v>
      </c>
      <c r="L47" s="41" t="s">
        <v>161</v>
      </c>
      <c r="M47" s="42" t="s">
        <v>128</v>
      </c>
      <c r="N47" s="42"/>
      <c r="O47" s="43" t="s">
        <v>129</v>
      </c>
      <c r="P47" s="43" t="s">
        <v>130</v>
      </c>
    </row>
    <row r="48" spans="1:16" ht="12.75" customHeight="1" thickBot="1" x14ac:dyDescent="0.25">
      <c r="A48" s="10" t="str">
        <f t="shared" si="0"/>
        <v> MVS 3.121 </v>
      </c>
      <c r="B48" s="16" t="str">
        <f t="shared" si="1"/>
        <v>I</v>
      </c>
      <c r="C48" s="10">
        <f t="shared" si="2"/>
        <v>38525.557000000001</v>
      </c>
      <c r="D48" s="13" t="str">
        <f t="shared" si="3"/>
        <v>vis</v>
      </c>
      <c r="E48" s="40">
        <f>VLOOKUP(C48,Active!C$21:E$972,3,FALSE)</f>
        <v>691.01708674045233</v>
      </c>
      <c r="F48" s="16" t="s">
        <v>65</v>
      </c>
      <c r="G48" s="13" t="str">
        <f t="shared" si="4"/>
        <v>38525.557</v>
      </c>
      <c r="H48" s="10">
        <f t="shared" si="5"/>
        <v>691</v>
      </c>
      <c r="I48" s="41" t="s">
        <v>162</v>
      </c>
      <c r="J48" s="42" t="s">
        <v>163</v>
      </c>
      <c r="K48" s="41">
        <v>691</v>
      </c>
      <c r="L48" s="41" t="s">
        <v>164</v>
      </c>
      <c r="M48" s="42" t="s">
        <v>128</v>
      </c>
      <c r="N48" s="42"/>
      <c r="O48" s="43" t="s">
        <v>129</v>
      </c>
      <c r="P48" s="43" t="s">
        <v>130</v>
      </c>
    </row>
    <row r="49" spans="1:16" ht="12.75" customHeight="1" thickBot="1" x14ac:dyDescent="0.25">
      <c r="A49" s="10" t="str">
        <f t="shared" si="0"/>
        <v> AA 16.158 </v>
      </c>
      <c r="B49" s="16" t="str">
        <f t="shared" si="1"/>
        <v>I</v>
      </c>
      <c r="C49" s="10">
        <f t="shared" si="2"/>
        <v>38919.442000000003</v>
      </c>
      <c r="D49" s="13" t="str">
        <f t="shared" si="3"/>
        <v>vis</v>
      </c>
      <c r="E49" s="40">
        <f>VLOOKUP(C49,Active!C$21:E$972,3,FALSE)</f>
        <v>769.00330647237104</v>
      </c>
      <c r="F49" s="16" t="s">
        <v>65</v>
      </c>
      <c r="G49" s="13" t="str">
        <f t="shared" si="4"/>
        <v>38919.442</v>
      </c>
      <c r="H49" s="10">
        <f t="shared" si="5"/>
        <v>769</v>
      </c>
      <c r="I49" s="41" t="s">
        <v>165</v>
      </c>
      <c r="J49" s="42" t="s">
        <v>166</v>
      </c>
      <c r="K49" s="41">
        <v>769</v>
      </c>
      <c r="L49" s="41" t="s">
        <v>161</v>
      </c>
      <c r="M49" s="42" t="s">
        <v>71</v>
      </c>
      <c r="N49" s="42"/>
      <c r="O49" s="43" t="s">
        <v>119</v>
      </c>
      <c r="P49" s="43" t="s">
        <v>167</v>
      </c>
    </row>
    <row r="50" spans="1:16" ht="12.75" customHeight="1" thickBot="1" x14ac:dyDescent="0.25">
      <c r="A50" s="10" t="str">
        <f t="shared" si="0"/>
        <v> MHAR 21 </v>
      </c>
      <c r="B50" s="16" t="str">
        <f t="shared" si="1"/>
        <v>I</v>
      </c>
      <c r="C50" s="10">
        <f t="shared" si="2"/>
        <v>40419.466999999997</v>
      </c>
      <c r="D50" s="13" t="str">
        <f t="shared" si="3"/>
        <v>vis</v>
      </c>
      <c r="E50" s="40">
        <f>VLOOKUP(C50,Active!C$21:E$972,3,FALSE)</f>
        <v>1065.9967925238084</v>
      </c>
      <c r="F50" s="16" t="s">
        <v>65</v>
      </c>
      <c r="G50" s="13" t="str">
        <f t="shared" si="4"/>
        <v>40419.467</v>
      </c>
      <c r="H50" s="10">
        <f t="shared" si="5"/>
        <v>1066</v>
      </c>
      <c r="I50" s="41" t="s">
        <v>168</v>
      </c>
      <c r="J50" s="42" t="s">
        <v>169</v>
      </c>
      <c r="K50" s="41">
        <v>1066</v>
      </c>
      <c r="L50" s="41" t="s">
        <v>170</v>
      </c>
      <c r="M50" s="42" t="s">
        <v>128</v>
      </c>
      <c r="N50" s="42"/>
      <c r="O50" s="43" t="s">
        <v>171</v>
      </c>
      <c r="P50" s="43" t="s">
        <v>172</v>
      </c>
    </row>
    <row r="51" spans="1:16" ht="12.75" customHeight="1" thickBot="1" x14ac:dyDescent="0.25">
      <c r="A51" s="10" t="str">
        <f t="shared" si="0"/>
        <v> MHAR 21 </v>
      </c>
      <c r="B51" s="16" t="str">
        <f t="shared" si="1"/>
        <v>I</v>
      </c>
      <c r="C51" s="10">
        <f t="shared" si="2"/>
        <v>41601.341</v>
      </c>
      <c r="D51" s="13" t="str">
        <f t="shared" si="3"/>
        <v>vis</v>
      </c>
      <c r="E51" s="40">
        <f>VLOOKUP(C51,Active!C$21:E$972,3,FALSE)</f>
        <v>1299.9988120458554</v>
      </c>
      <c r="F51" s="16" t="s">
        <v>65</v>
      </c>
      <c r="G51" s="13" t="str">
        <f t="shared" si="4"/>
        <v>41601.341</v>
      </c>
      <c r="H51" s="10">
        <f t="shared" si="5"/>
        <v>1300</v>
      </c>
      <c r="I51" s="41" t="s">
        <v>177</v>
      </c>
      <c r="J51" s="42" t="s">
        <v>178</v>
      </c>
      <c r="K51" s="41">
        <v>1300</v>
      </c>
      <c r="L51" s="41" t="s">
        <v>118</v>
      </c>
      <c r="M51" s="42" t="s">
        <v>128</v>
      </c>
      <c r="N51" s="42"/>
      <c r="O51" s="43" t="s">
        <v>171</v>
      </c>
      <c r="P51" s="43" t="s">
        <v>172</v>
      </c>
    </row>
    <row r="52" spans="1:16" ht="12.75" customHeight="1" thickBot="1" x14ac:dyDescent="0.25">
      <c r="A52" s="10" t="str">
        <f t="shared" si="0"/>
        <v> MHAR 21 </v>
      </c>
      <c r="B52" s="16" t="str">
        <f t="shared" si="1"/>
        <v>I</v>
      </c>
      <c r="C52" s="10">
        <f t="shared" si="2"/>
        <v>42303.381000000001</v>
      </c>
      <c r="D52" s="13" t="str">
        <f t="shared" si="3"/>
        <v>vis</v>
      </c>
      <c r="E52" s="40">
        <f>VLOOKUP(C52,Active!C$21:E$972,3,FALSE)</f>
        <v>1438.9973667016459</v>
      </c>
      <c r="F52" s="16" t="s">
        <v>65</v>
      </c>
      <c r="G52" s="13" t="str">
        <f t="shared" si="4"/>
        <v>42303.381</v>
      </c>
      <c r="H52" s="10">
        <f t="shared" si="5"/>
        <v>1439</v>
      </c>
      <c r="I52" s="41" t="s">
        <v>179</v>
      </c>
      <c r="J52" s="42" t="s">
        <v>180</v>
      </c>
      <c r="K52" s="41">
        <v>1439</v>
      </c>
      <c r="L52" s="41" t="s">
        <v>181</v>
      </c>
      <c r="M52" s="42" t="s">
        <v>128</v>
      </c>
      <c r="N52" s="42"/>
      <c r="O52" s="43" t="s">
        <v>182</v>
      </c>
      <c r="P52" s="43" t="s">
        <v>172</v>
      </c>
    </row>
    <row r="53" spans="1:16" ht="12.75" customHeight="1" thickBot="1" x14ac:dyDescent="0.25">
      <c r="A53" s="10" t="str">
        <f t="shared" si="0"/>
        <v>VSB 47 </v>
      </c>
      <c r="B53" s="16" t="str">
        <f t="shared" si="1"/>
        <v>I</v>
      </c>
      <c r="C53" s="10">
        <f t="shared" si="2"/>
        <v>46263.116999999998</v>
      </c>
      <c r="D53" s="13" t="str">
        <f t="shared" si="3"/>
        <v>vis</v>
      </c>
      <c r="E53" s="40">
        <f>VLOOKUP(C53,Active!C$21:E$972,3,FALSE)</f>
        <v>2222.9948323994695</v>
      </c>
      <c r="F53" s="16" t="s">
        <v>65</v>
      </c>
      <c r="G53" s="13" t="str">
        <f t="shared" si="4"/>
        <v>46263.117</v>
      </c>
      <c r="H53" s="10">
        <f t="shared" si="5"/>
        <v>2223</v>
      </c>
      <c r="I53" s="41" t="s">
        <v>206</v>
      </c>
      <c r="J53" s="42" t="s">
        <v>207</v>
      </c>
      <c r="K53" s="41">
        <v>2223</v>
      </c>
      <c r="L53" s="41" t="s">
        <v>208</v>
      </c>
      <c r="M53" s="42" t="s">
        <v>71</v>
      </c>
      <c r="N53" s="42"/>
      <c r="O53" s="43" t="s">
        <v>209</v>
      </c>
      <c r="P53" s="44" t="s">
        <v>210</v>
      </c>
    </row>
    <row r="54" spans="1:16" ht="12.75" customHeight="1" thickBot="1" x14ac:dyDescent="0.25">
      <c r="A54" s="10" t="str">
        <f t="shared" si="0"/>
        <v>BAVM 56 </v>
      </c>
      <c r="B54" s="16" t="str">
        <f t="shared" si="1"/>
        <v>I</v>
      </c>
      <c r="C54" s="10">
        <f t="shared" si="2"/>
        <v>47788.424299999999</v>
      </c>
      <c r="D54" s="13" t="str">
        <f t="shared" si="3"/>
        <v>vis</v>
      </c>
      <c r="E54" s="40">
        <f>VLOOKUP(C54,Active!C$21:E$972,3,FALSE)</f>
        <v>2524.9940206308038</v>
      </c>
      <c r="F54" s="16" t="s">
        <v>65</v>
      </c>
      <c r="G54" s="13" t="str">
        <f t="shared" si="4"/>
        <v>47788.4243</v>
      </c>
      <c r="H54" s="10">
        <f t="shared" si="5"/>
        <v>2525</v>
      </c>
      <c r="I54" s="41" t="s">
        <v>220</v>
      </c>
      <c r="J54" s="42" t="s">
        <v>221</v>
      </c>
      <c r="K54" s="41">
        <v>2525</v>
      </c>
      <c r="L54" s="41" t="s">
        <v>222</v>
      </c>
      <c r="M54" s="42" t="s">
        <v>223</v>
      </c>
      <c r="N54" s="42" t="s">
        <v>224</v>
      </c>
      <c r="O54" s="43" t="s">
        <v>225</v>
      </c>
      <c r="P54" s="44" t="s">
        <v>226</v>
      </c>
    </row>
    <row r="55" spans="1:16" ht="12.75" customHeight="1" thickBot="1" x14ac:dyDescent="0.25">
      <c r="A55" s="10" t="str">
        <f t="shared" si="0"/>
        <v>BAVM 157 </v>
      </c>
      <c r="B55" s="16" t="str">
        <f t="shared" si="1"/>
        <v>I</v>
      </c>
      <c r="C55" s="10">
        <f t="shared" si="2"/>
        <v>52475.463000000003</v>
      </c>
      <c r="D55" s="13" t="str">
        <f t="shared" si="3"/>
        <v>vis</v>
      </c>
      <c r="E55" s="40">
        <f>VLOOKUP(C55,Active!C$21:E$972,3,FALSE)</f>
        <v>3452.9918625141081</v>
      </c>
      <c r="F55" s="16" t="s">
        <v>65</v>
      </c>
      <c r="G55" s="13" t="str">
        <f t="shared" si="4"/>
        <v>52475.463</v>
      </c>
      <c r="H55" s="10">
        <f t="shared" si="5"/>
        <v>3453</v>
      </c>
      <c r="I55" s="41" t="s">
        <v>233</v>
      </c>
      <c r="J55" s="42" t="s">
        <v>234</v>
      </c>
      <c r="K55" s="41">
        <v>3453</v>
      </c>
      <c r="L55" s="41" t="s">
        <v>235</v>
      </c>
      <c r="M55" s="42" t="s">
        <v>71</v>
      </c>
      <c r="N55" s="42"/>
      <c r="O55" s="43" t="s">
        <v>236</v>
      </c>
      <c r="P55" s="44" t="s">
        <v>237</v>
      </c>
    </row>
    <row r="56" spans="1:16" ht="12.75" customHeight="1" thickBot="1" x14ac:dyDescent="0.25">
      <c r="A56" s="10" t="str">
        <f t="shared" si="0"/>
        <v>BAVM 171 </v>
      </c>
      <c r="B56" s="16" t="str">
        <f t="shared" si="1"/>
        <v>I</v>
      </c>
      <c r="C56" s="10">
        <f t="shared" si="2"/>
        <v>52874.449000000001</v>
      </c>
      <c r="D56" s="13" t="str">
        <f t="shared" si="3"/>
        <v>vis</v>
      </c>
      <c r="E56" s="40">
        <f>VLOOKUP(C56,Active!C$21:E$972,3,FALSE)</f>
        <v>3531.988041261608</v>
      </c>
      <c r="F56" s="16" t="s">
        <v>65</v>
      </c>
      <c r="G56" s="13" t="str">
        <f t="shared" si="4"/>
        <v>52874.449</v>
      </c>
      <c r="H56" s="10">
        <f t="shared" si="5"/>
        <v>3532</v>
      </c>
      <c r="I56" s="41" t="s">
        <v>238</v>
      </c>
      <c r="J56" s="42" t="s">
        <v>239</v>
      </c>
      <c r="K56" s="41">
        <v>3532</v>
      </c>
      <c r="L56" s="41" t="s">
        <v>240</v>
      </c>
      <c r="M56" s="42" t="s">
        <v>71</v>
      </c>
      <c r="N56" s="42"/>
      <c r="O56" s="43" t="s">
        <v>236</v>
      </c>
      <c r="P56" s="44" t="s">
        <v>241</v>
      </c>
    </row>
    <row r="57" spans="1:16" ht="12.75" customHeight="1" thickBot="1" x14ac:dyDescent="0.25">
      <c r="A57" s="10" t="str">
        <f t="shared" si="0"/>
        <v>BAVM 193 </v>
      </c>
      <c r="B57" s="16" t="str">
        <f t="shared" si="1"/>
        <v>I</v>
      </c>
      <c r="C57" s="10">
        <f t="shared" si="2"/>
        <v>54359.346100000002</v>
      </c>
      <c r="D57" s="13" t="str">
        <f t="shared" si="3"/>
        <v>vis</v>
      </c>
      <c r="E57" s="40">
        <f>VLOOKUP(C57,Active!C$21:E$972,3,FALSE)</f>
        <v>3825.986318728098</v>
      </c>
      <c r="F57" s="16" t="s">
        <v>65</v>
      </c>
      <c r="G57" s="13" t="str">
        <f t="shared" si="4"/>
        <v>54359.3461</v>
      </c>
      <c r="H57" s="10">
        <f t="shared" si="5"/>
        <v>3826</v>
      </c>
      <c r="I57" s="41" t="s">
        <v>248</v>
      </c>
      <c r="J57" s="42" t="s">
        <v>249</v>
      </c>
      <c r="K57" s="41">
        <v>3826</v>
      </c>
      <c r="L57" s="41" t="s">
        <v>250</v>
      </c>
      <c r="M57" s="42" t="s">
        <v>245</v>
      </c>
      <c r="N57" s="42" t="s">
        <v>251</v>
      </c>
      <c r="O57" s="43" t="s">
        <v>225</v>
      </c>
      <c r="P57" s="44" t="s">
        <v>252</v>
      </c>
    </row>
    <row r="58" spans="1:16" ht="12.75" customHeight="1" thickBot="1" x14ac:dyDescent="0.25">
      <c r="A58" s="10" t="str">
        <f t="shared" si="0"/>
        <v>BAVM 193 </v>
      </c>
      <c r="B58" s="16" t="str">
        <f t="shared" si="1"/>
        <v>I</v>
      </c>
      <c r="C58" s="10">
        <f t="shared" si="2"/>
        <v>54364.399400000002</v>
      </c>
      <c r="D58" s="13" t="str">
        <f t="shared" si="3"/>
        <v>vis</v>
      </c>
      <c r="E58" s="40">
        <f>VLOOKUP(C58,Active!C$21:E$972,3,FALSE)</f>
        <v>3826.9868335082274</v>
      </c>
      <c r="F58" s="16" t="s">
        <v>65</v>
      </c>
      <c r="G58" s="13" t="str">
        <f t="shared" si="4"/>
        <v>54364.3994</v>
      </c>
      <c r="H58" s="10">
        <f t="shared" si="5"/>
        <v>3827</v>
      </c>
      <c r="I58" s="41" t="s">
        <v>253</v>
      </c>
      <c r="J58" s="42" t="s">
        <v>254</v>
      </c>
      <c r="K58" s="41" t="s">
        <v>255</v>
      </c>
      <c r="L58" s="41" t="s">
        <v>256</v>
      </c>
      <c r="M58" s="42" t="s">
        <v>245</v>
      </c>
      <c r="N58" s="42" t="s">
        <v>251</v>
      </c>
      <c r="O58" s="43" t="s">
        <v>257</v>
      </c>
      <c r="P58" s="44" t="s">
        <v>252</v>
      </c>
    </row>
    <row r="59" spans="1:16" x14ac:dyDescent="0.2">
      <c r="B59" s="16"/>
      <c r="E59" s="40"/>
      <c r="F59" s="16"/>
    </row>
    <row r="60" spans="1:16" x14ac:dyDescent="0.2">
      <c r="B60" s="16"/>
      <c r="E60" s="40"/>
      <c r="F60" s="16"/>
    </row>
    <row r="61" spans="1:16" x14ac:dyDescent="0.2">
      <c r="B61" s="16"/>
      <c r="E61" s="40"/>
      <c r="F61" s="16"/>
    </row>
    <row r="62" spans="1:16" x14ac:dyDescent="0.2">
      <c r="B62" s="16"/>
      <c r="E62" s="40"/>
      <c r="F62" s="16"/>
    </row>
    <row r="63" spans="1:16" x14ac:dyDescent="0.2">
      <c r="B63" s="16"/>
      <c r="E63" s="40"/>
      <c r="F63" s="16"/>
    </row>
    <row r="64" spans="1:16" x14ac:dyDescent="0.2">
      <c r="B64" s="16"/>
      <c r="E64" s="40"/>
      <c r="F64" s="16"/>
    </row>
    <row r="65" spans="2:6" x14ac:dyDescent="0.2">
      <c r="B65" s="16"/>
      <c r="E65" s="40"/>
      <c r="F65" s="16"/>
    </row>
    <row r="66" spans="2:6" x14ac:dyDescent="0.2">
      <c r="B66" s="16"/>
      <c r="E66" s="40"/>
      <c r="F66" s="16"/>
    </row>
    <row r="67" spans="2:6" x14ac:dyDescent="0.2">
      <c r="B67" s="16"/>
      <c r="E67" s="40"/>
      <c r="F67" s="16"/>
    </row>
    <row r="68" spans="2:6" x14ac:dyDescent="0.2">
      <c r="B68" s="16"/>
      <c r="E68" s="40"/>
      <c r="F68" s="16"/>
    </row>
    <row r="69" spans="2:6" x14ac:dyDescent="0.2">
      <c r="B69" s="16"/>
      <c r="E69" s="40"/>
      <c r="F69" s="16"/>
    </row>
    <row r="70" spans="2:6" x14ac:dyDescent="0.2">
      <c r="B70" s="16"/>
      <c r="E70" s="40"/>
      <c r="F70" s="16"/>
    </row>
    <row r="71" spans="2:6" x14ac:dyDescent="0.2">
      <c r="B71" s="16"/>
      <c r="E71" s="40"/>
      <c r="F71" s="16"/>
    </row>
    <row r="72" spans="2:6" x14ac:dyDescent="0.2">
      <c r="B72" s="16"/>
      <c r="E72" s="40"/>
      <c r="F72" s="16"/>
    </row>
    <row r="73" spans="2:6" x14ac:dyDescent="0.2">
      <c r="B73" s="16"/>
      <c r="E73" s="40"/>
      <c r="F73" s="16"/>
    </row>
    <row r="74" spans="2:6" x14ac:dyDescent="0.2">
      <c r="B74" s="16"/>
      <c r="E74" s="40"/>
      <c r="F74" s="16"/>
    </row>
    <row r="75" spans="2:6" x14ac:dyDescent="0.2">
      <c r="B75" s="16"/>
      <c r="E75" s="40"/>
      <c r="F75" s="16"/>
    </row>
    <row r="76" spans="2:6" x14ac:dyDescent="0.2">
      <c r="B76" s="16"/>
      <c r="E76" s="40"/>
      <c r="F76" s="16"/>
    </row>
    <row r="77" spans="2:6" x14ac:dyDescent="0.2">
      <c r="B77" s="16"/>
      <c r="E77" s="40"/>
      <c r="F77" s="16"/>
    </row>
    <row r="78" spans="2:6" x14ac:dyDescent="0.2">
      <c r="B78" s="16"/>
      <c r="E78" s="40"/>
      <c r="F78" s="16"/>
    </row>
    <row r="79" spans="2:6" x14ac:dyDescent="0.2">
      <c r="B79" s="16"/>
      <c r="E79" s="40"/>
      <c r="F79" s="16"/>
    </row>
    <row r="80" spans="2:6" x14ac:dyDescent="0.2">
      <c r="B80" s="16"/>
      <c r="E80" s="40"/>
      <c r="F80" s="16"/>
    </row>
    <row r="81" spans="2:6" x14ac:dyDescent="0.2">
      <c r="B81" s="16"/>
      <c r="E81" s="40"/>
      <c r="F81" s="16"/>
    </row>
    <row r="82" spans="2:6" x14ac:dyDescent="0.2">
      <c r="B82" s="16"/>
      <c r="E82" s="40"/>
      <c r="F82" s="16"/>
    </row>
    <row r="83" spans="2:6" x14ac:dyDescent="0.2">
      <c r="B83" s="16"/>
      <c r="E83" s="40"/>
      <c r="F83" s="16"/>
    </row>
    <row r="84" spans="2:6" x14ac:dyDescent="0.2">
      <c r="B84" s="16"/>
      <c r="E84" s="40"/>
      <c r="F84" s="16"/>
    </row>
    <row r="85" spans="2:6" x14ac:dyDescent="0.2">
      <c r="B85" s="16"/>
      <c r="E85" s="40"/>
      <c r="F85" s="16"/>
    </row>
    <row r="86" spans="2:6" x14ac:dyDescent="0.2">
      <c r="B86" s="16"/>
      <c r="E86" s="40"/>
      <c r="F86" s="16"/>
    </row>
    <row r="87" spans="2:6" x14ac:dyDescent="0.2">
      <c r="B87" s="16"/>
      <c r="E87" s="40"/>
      <c r="F87" s="16"/>
    </row>
    <row r="88" spans="2:6" x14ac:dyDescent="0.2">
      <c r="B88" s="16"/>
      <c r="E88" s="40"/>
      <c r="F88" s="16"/>
    </row>
    <row r="89" spans="2:6" x14ac:dyDescent="0.2">
      <c r="B89" s="16"/>
      <c r="E89" s="40"/>
      <c r="F89" s="16"/>
    </row>
    <row r="90" spans="2:6" x14ac:dyDescent="0.2">
      <c r="B90" s="16"/>
      <c r="E90" s="40"/>
      <c r="F90" s="16"/>
    </row>
    <row r="91" spans="2:6" x14ac:dyDescent="0.2">
      <c r="B91" s="16"/>
      <c r="E91" s="40"/>
      <c r="F91" s="16"/>
    </row>
    <row r="92" spans="2:6" x14ac:dyDescent="0.2">
      <c r="B92" s="16"/>
      <c r="E92" s="40"/>
      <c r="F92" s="16"/>
    </row>
    <row r="93" spans="2:6" x14ac:dyDescent="0.2">
      <c r="B93" s="16"/>
      <c r="E93" s="40"/>
      <c r="F93" s="16"/>
    </row>
    <row r="94" spans="2:6" x14ac:dyDescent="0.2">
      <c r="B94" s="16"/>
      <c r="E94" s="40"/>
      <c r="F94" s="16"/>
    </row>
    <row r="95" spans="2:6" x14ac:dyDescent="0.2">
      <c r="B95" s="16"/>
      <c r="E95" s="40"/>
      <c r="F95" s="16"/>
    </row>
    <row r="96" spans="2:6" x14ac:dyDescent="0.2">
      <c r="B96" s="16"/>
      <c r="E96" s="40"/>
      <c r="F96" s="16"/>
    </row>
    <row r="97" spans="2:6" x14ac:dyDescent="0.2">
      <c r="B97" s="16"/>
      <c r="E97" s="40"/>
      <c r="F97" s="16"/>
    </row>
    <row r="98" spans="2:6" x14ac:dyDescent="0.2">
      <c r="B98" s="16"/>
      <c r="E98" s="40"/>
      <c r="F98" s="16"/>
    </row>
    <row r="99" spans="2:6" x14ac:dyDescent="0.2">
      <c r="B99" s="16"/>
      <c r="E99" s="40"/>
      <c r="F99" s="16"/>
    </row>
    <row r="100" spans="2:6" x14ac:dyDescent="0.2">
      <c r="B100" s="16"/>
      <c r="E100" s="40"/>
      <c r="F100" s="16"/>
    </row>
    <row r="101" spans="2:6" x14ac:dyDescent="0.2">
      <c r="B101" s="16"/>
      <c r="E101" s="40"/>
      <c r="F101" s="16"/>
    </row>
    <row r="102" spans="2:6" x14ac:dyDescent="0.2">
      <c r="B102" s="16"/>
      <c r="E102" s="40"/>
      <c r="F102" s="16"/>
    </row>
    <row r="103" spans="2:6" x14ac:dyDescent="0.2">
      <c r="B103" s="16"/>
      <c r="E103" s="40"/>
      <c r="F103" s="16"/>
    </row>
    <row r="104" spans="2:6" x14ac:dyDescent="0.2">
      <c r="B104" s="16"/>
      <c r="E104" s="40"/>
      <c r="F104" s="16"/>
    </row>
    <row r="105" spans="2:6" x14ac:dyDescent="0.2">
      <c r="B105" s="16"/>
      <c r="E105" s="40"/>
      <c r="F105" s="16"/>
    </row>
    <row r="106" spans="2:6" x14ac:dyDescent="0.2">
      <c r="B106" s="16"/>
      <c r="E106" s="40"/>
      <c r="F106" s="16"/>
    </row>
    <row r="107" spans="2:6" x14ac:dyDescent="0.2">
      <c r="B107" s="16"/>
      <c r="E107" s="40"/>
      <c r="F107" s="16"/>
    </row>
    <row r="108" spans="2:6" x14ac:dyDescent="0.2">
      <c r="B108" s="16"/>
      <c r="E108" s="40"/>
      <c r="F108" s="16"/>
    </row>
    <row r="109" spans="2:6" x14ac:dyDescent="0.2">
      <c r="B109" s="16"/>
      <c r="E109" s="40"/>
      <c r="F109" s="16"/>
    </row>
    <row r="110" spans="2:6" x14ac:dyDescent="0.2">
      <c r="B110" s="16"/>
      <c r="E110" s="40"/>
      <c r="F110" s="16"/>
    </row>
    <row r="111" spans="2:6" x14ac:dyDescent="0.2">
      <c r="B111" s="16"/>
      <c r="E111" s="40"/>
      <c r="F111" s="16"/>
    </row>
    <row r="112" spans="2:6" x14ac:dyDescent="0.2">
      <c r="B112" s="16"/>
      <c r="E112" s="40"/>
      <c r="F112" s="16"/>
    </row>
    <row r="113" spans="2:6" x14ac:dyDescent="0.2">
      <c r="B113" s="16"/>
      <c r="E113" s="40"/>
      <c r="F113" s="16"/>
    </row>
    <row r="114" spans="2:6" x14ac:dyDescent="0.2">
      <c r="B114" s="16"/>
      <c r="E114" s="40"/>
      <c r="F114" s="16"/>
    </row>
    <row r="115" spans="2:6" x14ac:dyDescent="0.2">
      <c r="B115" s="16"/>
      <c r="E115" s="40"/>
      <c r="F115" s="16"/>
    </row>
    <row r="116" spans="2:6" x14ac:dyDescent="0.2">
      <c r="B116" s="16"/>
      <c r="E116" s="40"/>
      <c r="F116" s="16"/>
    </row>
    <row r="117" spans="2:6" x14ac:dyDescent="0.2">
      <c r="B117" s="16"/>
      <c r="E117" s="40"/>
      <c r="F117" s="16"/>
    </row>
    <row r="118" spans="2:6" x14ac:dyDescent="0.2">
      <c r="B118" s="16"/>
      <c r="E118" s="40"/>
      <c r="F118" s="16"/>
    </row>
    <row r="119" spans="2:6" x14ac:dyDescent="0.2">
      <c r="B119" s="16"/>
      <c r="E119" s="40"/>
      <c r="F119" s="16"/>
    </row>
    <row r="120" spans="2:6" x14ac:dyDescent="0.2">
      <c r="B120" s="16"/>
      <c r="E120" s="40"/>
      <c r="F120" s="16"/>
    </row>
    <row r="121" spans="2:6" x14ac:dyDescent="0.2">
      <c r="B121" s="16"/>
      <c r="E121" s="40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</sheetData>
  <phoneticPr fontId="8" type="noConversion"/>
  <hyperlinks>
    <hyperlink ref="P53" r:id="rId1" display="http://vsolj.cetus-net.org/no47.pdf" xr:uid="{00000000-0004-0000-0100-000000000000}"/>
    <hyperlink ref="P19" r:id="rId2" display="http://www.bav-astro.de/sfs/BAVM_link.php?BAVMnr=46" xr:uid="{00000000-0004-0000-0100-000001000000}"/>
    <hyperlink ref="P20" r:id="rId3" display="http://www.bav-astro.de/sfs/BAVM_link.php?BAVMnr=46" xr:uid="{00000000-0004-0000-0100-000002000000}"/>
    <hyperlink ref="P54" r:id="rId4" display="http://www.bav-astro.de/sfs/BAVM_link.php?BAVMnr=56" xr:uid="{00000000-0004-0000-0100-000003000000}"/>
    <hyperlink ref="P21" r:id="rId5" display="http://www.konkoly.hu/cgi-bin/IBVS?5287" xr:uid="{00000000-0004-0000-0100-000004000000}"/>
    <hyperlink ref="P55" r:id="rId6" display="http://www.bav-astro.de/sfs/BAVM_link.php?BAVMnr=157" xr:uid="{00000000-0004-0000-0100-000005000000}"/>
    <hyperlink ref="P56" r:id="rId7" display="http://www.bav-astro.de/sfs/BAVM_link.php?BAVMnr=171" xr:uid="{00000000-0004-0000-0100-000006000000}"/>
    <hyperlink ref="P22" r:id="rId8" display="http://var.astro.cz/oejv/issues/oejv0074.pdf" xr:uid="{00000000-0004-0000-0100-000007000000}"/>
    <hyperlink ref="P57" r:id="rId9" display="http://www.bav-astro.de/sfs/BAVM_link.php?BAVMnr=193" xr:uid="{00000000-0004-0000-0100-000008000000}"/>
    <hyperlink ref="P58" r:id="rId10" display="http://www.bav-astro.de/sfs/BAVM_link.php?BAVMnr=193" xr:uid="{00000000-0004-0000-0100-000009000000}"/>
    <hyperlink ref="P23" r:id="rId11" display="http://www.bav-astro.de/sfs/BAVM_link.php?BAVMnr=238" xr:uid="{00000000-0004-0000-0100-00000A000000}"/>
    <hyperlink ref="P24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2024-07-29T05:21:30Z</dcterms:modified>
</cp:coreProperties>
</file>