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B437964-07DA-4B77-A9E2-CDA12C09B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l="1"/>
  <c r="E43" i="1"/>
  <c r="F43" i="1" s="1"/>
  <c r="G43" i="1" s="1"/>
  <c r="Q43" i="1"/>
  <c r="G39" i="1"/>
  <c r="G40" i="1"/>
  <c r="Q43" i="2"/>
  <c r="C7" i="2"/>
  <c r="E43" i="2"/>
  <c r="F43" i="2"/>
  <c r="E24" i="2"/>
  <c r="F24" i="2"/>
  <c r="E27" i="2"/>
  <c r="F27" i="2"/>
  <c r="E28" i="2"/>
  <c r="F28" i="2"/>
  <c r="E29" i="2"/>
  <c r="F29" i="2"/>
  <c r="G29" i="2"/>
  <c r="J29" i="2"/>
  <c r="E32" i="2"/>
  <c r="F32" i="2"/>
  <c r="E33" i="2"/>
  <c r="F33" i="2"/>
  <c r="E35" i="2"/>
  <c r="F35" i="2"/>
  <c r="G35" i="2"/>
  <c r="J35" i="2"/>
  <c r="E36" i="2"/>
  <c r="F36" i="2"/>
  <c r="G36" i="2"/>
  <c r="J36" i="2"/>
  <c r="E37" i="2"/>
  <c r="F37" i="2"/>
  <c r="G37" i="2"/>
  <c r="J37" i="2"/>
  <c r="E38" i="2"/>
  <c r="F38" i="2"/>
  <c r="G38" i="2"/>
  <c r="E39" i="2"/>
  <c r="F39" i="2"/>
  <c r="G39" i="2"/>
  <c r="J39" i="2"/>
  <c r="E40" i="2"/>
  <c r="F40" i="2"/>
  <c r="G40" i="2"/>
  <c r="J40" i="2"/>
  <c r="E41" i="2"/>
  <c r="F41" i="2"/>
  <c r="G41" i="2"/>
  <c r="J41" i="2"/>
  <c r="E42" i="2"/>
  <c r="F42" i="2"/>
  <c r="G42" i="2"/>
  <c r="J42" i="2"/>
  <c r="G11" i="2"/>
  <c r="F11" i="2"/>
  <c r="E21" i="2"/>
  <c r="F21" i="2"/>
  <c r="G21" i="2"/>
  <c r="H21" i="2"/>
  <c r="E15" i="2"/>
  <c r="C17" i="2"/>
  <c r="Q21" i="2"/>
  <c r="Q22" i="2"/>
  <c r="R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J38" i="2"/>
  <c r="Q38" i="2"/>
  <c r="Q39" i="2"/>
  <c r="Q40" i="2"/>
  <c r="Q41" i="2"/>
  <c r="Q42" i="2"/>
  <c r="C7" i="1"/>
  <c r="C8" i="1"/>
  <c r="G11" i="1"/>
  <c r="F11" i="1"/>
  <c r="C17" i="1"/>
  <c r="Q21" i="1"/>
  <c r="Q22" i="1"/>
  <c r="R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E26" i="1"/>
  <c r="F26" i="1" s="1"/>
  <c r="G26" i="1" s="1"/>
  <c r="I26" i="1" s="1"/>
  <c r="E40" i="1"/>
  <c r="F40" i="1"/>
  <c r="E23" i="1"/>
  <c r="F23" i="1" s="1"/>
  <c r="G23" i="1" s="1"/>
  <c r="I23" i="1" s="1"/>
  <c r="E21" i="1"/>
  <c r="F21" i="1"/>
  <c r="G21" i="1"/>
  <c r="H21" i="1"/>
  <c r="E31" i="1"/>
  <c r="F31" i="1"/>
  <c r="G31" i="1"/>
  <c r="I31" i="1" s="1"/>
  <c r="E36" i="1"/>
  <c r="F36" i="1" s="1"/>
  <c r="G36" i="1" s="1"/>
  <c r="I36" i="1" s="1"/>
  <c r="G30" i="1"/>
  <c r="I30" i="1"/>
  <c r="E28" i="1"/>
  <c r="F28" i="1" s="1"/>
  <c r="G28" i="1" s="1"/>
  <c r="I28" i="1" s="1"/>
  <c r="E39" i="1"/>
  <c r="F39" i="1"/>
  <c r="G35" i="1"/>
  <c r="I35" i="1"/>
  <c r="E33" i="1"/>
  <c r="F33" i="1" s="1"/>
  <c r="G33" i="1" s="1"/>
  <c r="I33" i="1" s="1"/>
  <c r="E25" i="1"/>
  <c r="F25" i="1"/>
  <c r="G25" i="1"/>
  <c r="I25" i="1"/>
  <c r="E34" i="2"/>
  <c r="F34" i="2"/>
  <c r="G34" i="2"/>
  <c r="J34" i="2"/>
  <c r="G28" i="2"/>
  <c r="J28" i="2"/>
  <c r="E26" i="2"/>
  <c r="F26" i="2"/>
  <c r="G26" i="2"/>
  <c r="J26" i="2"/>
  <c r="E30" i="1"/>
  <c r="F30" i="1"/>
  <c r="E22" i="1"/>
  <c r="F22" i="1"/>
  <c r="G22" i="1"/>
  <c r="I22" i="1" s="1"/>
  <c r="G33" i="2"/>
  <c r="J33" i="2"/>
  <c r="E31" i="2"/>
  <c r="F31" i="2"/>
  <c r="G31" i="2"/>
  <c r="J31" i="2"/>
  <c r="E23" i="2"/>
  <c r="F23" i="2"/>
  <c r="G23" i="2"/>
  <c r="J23" i="2"/>
  <c r="E34" i="1"/>
  <c r="F34" i="1" s="1"/>
  <c r="G34" i="1" s="1"/>
  <c r="I34" i="1" s="1"/>
  <c r="E42" i="1"/>
  <c r="F42" i="1"/>
  <c r="G42" i="1" s="1"/>
  <c r="E35" i="1"/>
  <c r="F35" i="1"/>
  <c r="E27" i="1"/>
  <c r="F27" i="1"/>
  <c r="G27" i="1" s="1"/>
  <c r="I27" i="1" s="1"/>
  <c r="E32" i="1"/>
  <c r="F32" i="1"/>
  <c r="G32" i="1" s="1"/>
  <c r="I32" i="1" s="1"/>
  <c r="E24" i="1"/>
  <c r="F24" i="1" s="1"/>
  <c r="G24" i="1" s="1"/>
  <c r="I24" i="1" s="1"/>
  <c r="G27" i="2"/>
  <c r="J27" i="2"/>
  <c r="E25" i="2"/>
  <c r="F25" i="2"/>
  <c r="G25" i="2"/>
  <c r="J25" i="2"/>
  <c r="G43" i="2"/>
  <c r="J43" i="2"/>
  <c r="E38" i="1"/>
  <c r="F38" i="1"/>
  <c r="G38" i="1" s="1"/>
  <c r="E41" i="1"/>
  <c r="F41" i="1"/>
  <c r="G41" i="1" s="1"/>
  <c r="E37" i="1"/>
  <c r="F37" i="1" s="1"/>
  <c r="G37" i="1" s="1"/>
  <c r="E29" i="1"/>
  <c r="F29" i="1"/>
  <c r="G29" i="1" s="1"/>
  <c r="I29" i="1" s="1"/>
  <c r="G32" i="2"/>
  <c r="J32" i="2"/>
  <c r="E30" i="2"/>
  <c r="F30" i="2"/>
  <c r="G30" i="2"/>
  <c r="J30" i="2"/>
  <c r="G24" i="2"/>
  <c r="J24" i="2"/>
  <c r="E22" i="2"/>
  <c r="F22" i="2"/>
  <c r="G22" i="2"/>
  <c r="J22" i="2"/>
  <c r="C12" i="1"/>
  <c r="C11" i="2"/>
  <c r="C16" i="1" l="1"/>
  <c r="D18" i="1" s="1"/>
  <c r="C12" i="2"/>
  <c r="C11" i="1"/>
  <c r="O40" i="2" l="1"/>
  <c r="O43" i="2"/>
  <c r="O32" i="2"/>
  <c r="O34" i="2"/>
  <c r="O30" i="2"/>
  <c r="O31" i="2"/>
  <c r="C16" i="2"/>
  <c r="D18" i="2" s="1"/>
  <c r="O25" i="2"/>
  <c r="O37" i="2"/>
  <c r="O35" i="2"/>
  <c r="O22" i="2"/>
  <c r="O29" i="2"/>
  <c r="O26" i="2"/>
  <c r="C15" i="2"/>
  <c r="C18" i="2" s="1"/>
  <c r="O27" i="2"/>
  <c r="O24" i="2"/>
  <c r="O28" i="2"/>
  <c r="O41" i="2"/>
  <c r="O33" i="2"/>
  <c r="O39" i="2"/>
  <c r="O36" i="2"/>
  <c r="O21" i="2"/>
  <c r="O23" i="2"/>
  <c r="O42" i="2"/>
  <c r="O38" i="2"/>
  <c r="O40" i="1"/>
  <c r="O34" i="1"/>
  <c r="O22" i="1"/>
  <c r="O23" i="1"/>
  <c r="O41" i="1"/>
  <c r="O27" i="1"/>
  <c r="O38" i="1"/>
  <c r="O21" i="1"/>
  <c r="O36" i="1"/>
  <c r="O31" i="1"/>
  <c r="O29" i="1"/>
  <c r="O35" i="1"/>
  <c r="O25" i="1"/>
  <c r="O42" i="1"/>
  <c r="O26" i="1"/>
  <c r="O33" i="1"/>
  <c r="O24" i="1"/>
  <c r="O30" i="1"/>
  <c r="O43" i="1"/>
  <c r="O28" i="1"/>
  <c r="O39" i="1"/>
  <c r="O37" i="1"/>
  <c r="O32" i="1"/>
  <c r="C15" i="1"/>
  <c r="E16" i="2" l="1"/>
  <c r="E17" i="2" s="1"/>
  <c r="F16" i="1"/>
  <c r="F18" i="1" s="1"/>
  <c r="C18" i="1"/>
  <c r="F17" i="1" l="1"/>
</calcChain>
</file>

<file path=xl/sharedStrings.xml><?xml version="1.0" encoding="utf-8"?>
<sst xmlns="http://schemas.openxmlformats.org/spreadsheetml/2006/main" count="179" uniqueCount="54">
  <si>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</si>
  <si>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</si>
  <si>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</si>
  <si>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</si>
  <si>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</si>
  <si>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</si>
  <si>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</si>
  <si>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</si>
  <si>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</si>
  <si>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</si>
  <si>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</si>
  <si>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</si>
  <si>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</si>
  <si>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</si>
  <si>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</si>
  <si>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</si>
  <si>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</si>
  <si>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</si>
  <si>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</si>
  <si>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</si>
  <si>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</si>
  <si>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</si>
  <si>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</si>
  <si>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</si>
  <si>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</si>
  <si>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</si>
  <si>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</si>
  <si>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</si>
  <si>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</si>
  <si>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</si>
  <si>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</si>
  <si>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</si>
  <si>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</si>
  <si>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</si>
  <si>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</si>
  <si>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</si>
  <si>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</si>
  <si>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Vul</t>
  </si>
  <si>
    <t>EW?</t>
  </si>
  <si>
    <t>IBVS 5500</t>
  </si>
  <si>
    <t>IBVS 5500 Eph.</t>
  </si>
  <si>
    <t>IBVS 5731</t>
  </si>
  <si>
    <t>I</t>
  </si>
  <si>
    <t>IBVS 5984</t>
  </si>
  <si>
    <t>V0516 Vul / GSC 2192-1283</t>
  </si>
  <si>
    <t>vis</t>
  </si>
  <si>
    <t>CCD</t>
  </si>
  <si>
    <t>Add cycle</t>
  </si>
  <si>
    <t>Old Cycle</t>
  </si>
  <si>
    <t>Next ToM-P</t>
  </si>
  <si>
    <t>Next ToM-S</t>
  </si>
  <si>
    <t>VSX</t>
  </si>
  <si>
    <t xml:space="preserve">Mag R </t>
  </si>
  <si>
    <t>14.3 (0.70)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</si>
</sst>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V0516</a:t>
            </a:r>
            <a:r>
              <a:rPr lang="en-AU" baseline="0"/>
              <a:t> Vul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3308270676691731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F3-460C-ADBE-6CC4B8C06ED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2.3099999998521525E-2</c:v>
                </c:pt>
                <c:pt idx="2">
                  <c:v>2.5099999998928979E-2</c:v>
                </c:pt>
                <c:pt idx="3">
                  <c:v>2.7000000001862645E-2</c:v>
                </c:pt>
                <c:pt idx="4">
                  <c:v>3.0299999998533167E-2</c:v>
                </c:pt>
                <c:pt idx="5">
                  <c:v>4.6300000001792796E-2</c:v>
                </c:pt>
                <c:pt idx="6">
                  <c:v>5.0100000000384171E-2</c:v>
                </c:pt>
                <c:pt idx="7">
                  <c:v>5.0900000002002344E-2</c:v>
                </c:pt>
                <c:pt idx="8">
                  <c:v>5.1800000001094304E-2</c:v>
                </c:pt>
                <c:pt idx="9">
                  <c:v>4.9300000006041955E-2</c:v>
                </c:pt>
                <c:pt idx="10">
                  <c:v>5.0199999997857958E-2</c:v>
                </c:pt>
                <c:pt idx="11">
                  <c:v>5.1099999996949919E-2</c:v>
                </c:pt>
                <c:pt idx="12">
                  <c:v>5.3600000006554183E-2</c:v>
                </c:pt>
                <c:pt idx="13">
                  <c:v>7.1100000001024455E-2</c:v>
                </c:pt>
                <c:pt idx="14">
                  <c:v>7.0100000004458707E-2</c:v>
                </c:pt>
                <c:pt idx="15">
                  <c:v>6.8299999998998828E-2</c:v>
                </c:pt>
                <c:pt idx="16">
                  <c:v>7.8300000001036096E-2</c:v>
                </c:pt>
                <c:pt idx="17">
                  <c:v>8.0800000003364403E-2</c:v>
                </c:pt>
                <c:pt idx="18">
                  <c:v>8.5999999995692633E-2</c:v>
                </c:pt>
                <c:pt idx="19">
                  <c:v>8.6200000005192123E-2</c:v>
                </c:pt>
                <c:pt idx="20">
                  <c:v>-8.9100000004691537E-2</c:v>
                </c:pt>
                <c:pt idx="21">
                  <c:v>-8.0799999996088445E-2</c:v>
                </c:pt>
                <c:pt idx="22">
                  <c:v>-8.0799999996088445E-2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F3-460C-ADBE-6CC4B8C06ED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F3-460C-ADBE-6CC4B8C06ED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F3-460C-ADBE-6CC4B8C06ED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F3-460C-ADBE-6CC4B8C06ED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F3-460C-ADBE-6CC4B8C06ED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F3-460C-ADBE-6CC4B8C06ED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877.5</c:v>
                </c:pt>
                <c:pt idx="2">
                  <c:v>896</c:v>
                </c:pt>
                <c:pt idx="3">
                  <c:v>898.5</c:v>
                </c:pt>
                <c:pt idx="4">
                  <c:v>911.5</c:v>
                </c:pt>
                <c:pt idx="5">
                  <c:v>985</c:v>
                </c:pt>
                <c:pt idx="6">
                  <c:v>987.5</c:v>
                </c:pt>
                <c:pt idx="7">
                  <c:v>992.5</c:v>
                </c:pt>
                <c:pt idx="8">
                  <c:v>995.5</c:v>
                </c:pt>
                <c:pt idx="9">
                  <c:v>998</c:v>
                </c:pt>
                <c:pt idx="10">
                  <c:v>1001</c:v>
                </c:pt>
                <c:pt idx="11">
                  <c:v>1003</c:v>
                </c:pt>
                <c:pt idx="12">
                  <c:v>1003.5</c:v>
                </c:pt>
                <c:pt idx="13">
                  <c:v>1068.5</c:v>
                </c:pt>
                <c:pt idx="14">
                  <c:v>1069</c:v>
                </c:pt>
                <c:pt idx="15">
                  <c:v>1074</c:v>
                </c:pt>
                <c:pt idx="16">
                  <c:v>1904.5</c:v>
                </c:pt>
                <c:pt idx="17">
                  <c:v>1905</c:v>
                </c:pt>
                <c:pt idx="18">
                  <c:v>1936</c:v>
                </c:pt>
                <c:pt idx="19">
                  <c:v>1936.5</c:v>
                </c:pt>
                <c:pt idx="20">
                  <c:v>1997</c:v>
                </c:pt>
                <c:pt idx="21">
                  <c:v>2036</c:v>
                </c:pt>
                <c:pt idx="22">
                  <c:v>6831.5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6.6145160315948789E-2</c:v>
                </c:pt>
                <c:pt idx="1">
                  <c:v>4.9360665235769638E-2</c:v>
                </c:pt>
                <c:pt idx="2">
                  <c:v>4.9006804085931097E-2</c:v>
                </c:pt>
                <c:pt idx="3">
                  <c:v>4.8958985011628597E-2</c:v>
                </c:pt>
                <c:pt idx="4">
                  <c:v>4.8710325825255571E-2</c:v>
                </c:pt>
                <c:pt idx="5">
                  <c:v>4.7304445040761936E-2</c:v>
                </c:pt>
                <c:pt idx="6">
                  <c:v>4.725662596645943E-2</c:v>
                </c:pt>
                <c:pt idx="7">
                  <c:v>4.7160987817854425E-2</c:v>
                </c:pt>
                <c:pt idx="8">
                  <c:v>4.7103604928691409E-2</c:v>
                </c:pt>
                <c:pt idx="9">
                  <c:v>4.705578585438891E-2</c:v>
                </c:pt>
                <c:pt idx="10">
                  <c:v>4.6998402965225908E-2</c:v>
                </c:pt>
                <c:pt idx="11">
                  <c:v>4.6960147705783897E-2</c:v>
                </c:pt>
                <c:pt idx="12">
                  <c:v>4.6950583890923395E-2</c:v>
                </c:pt>
                <c:pt idx="13">
                  <c:v>4.5707287959058276E-2</c:v>
                </c:pt>
                <c:pt idx="14">
                  <c:v>4.5697724144197774E-2</c:v>
                </c:pt>
                <c:pt idx="15">
                  <c:v>4.5602085995592762E-2</c:v>
                </c:pt>
                <c:pt idx="16">
                  <c:v>2.9716589512300703E-2</c:v>
                </c:pt>
                <c:pt idx="17">
                  <c:v>2.9707025697440201E-2</c:v>
                </c:pt>
                <c:pt idx="18">
                  <c:v>2.9114069176089143E-2</c:v>
                </c:pt>
                <c:pt idx="19">
                  <c:v>2.910450536122864E-2</c:v>
                </c:pt>
                <c:pt idx="20">
                  <c:v>2.7947283763108025E-2</c:v>
                </c:pt>
                <c:pt idx="21">
                  <c:v>2.7201306203988952E-2</c:v>
                </c:pt>
                <c:pt idx="22">
                  <c:v>-6.4525242123075574E-2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F3-460C-ADBE-6CC4B8C06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26712"/>
        <c:axId val="1"/>
      </c:scatterChart>
      <c:valAx>
        <c:axId val="85402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2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53064690443099"/>
          <c:w val="0.634586466165413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V0516 Vul - O-C Diagr.</a:t>
            </a:r>
          </a:p>
        </c:rich>
      </c:tx>
      <c:layout>
        <c:manualLayout>
          <c:xMode val="edge"/>
          <c:yMode val="edge"/>
          <c:x val="0.37142857142857144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2'!$H$21:$H$977</c:f>
              <c:numCache>
                <c:formatCode>General</c:formatCode>
                <c:ptCount val="95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9F-4349-9E39-1C0ED8407CA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9F-4349-9E39-1C0ED8407CA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2'!$J$21:$J$977</c:f>
              <c:numCache>
                <c:formatCode>General</c:formatCode>
                <c:ptCount val="957"/>
                <c:pt idx="1">
                  <c:v>-2.3601591237820685E-3</c:v>
                </c:pt>
                <c:pt idx="2">
                  <c:v>-4.9220895089092664E-3</c:v>
                </c:pt>
                <c:pt idx="3">
                  <c:v>-3.6385665880516171E-3</c:v>
                </c:pt>
                <c:pt idx="4">
                  <c:v>-3.5442473963485099E-3</c:v>
                </c:pt>
                <c:pt idx="5">
                  <c:v>-5.6686735042603686E-3</c:v>
                </c:pt>
                <c:pt idx="6">
                  <c:v>-2.4851505731930956E-3</c:v>
                </c:pt>
                <c:pt idx="7">
                  <c:v>-2.9181047357269563E-3</c:v>
                </c:pt>
                <c:pt idx="8">
                  <c:v>-2.7578772278502584E-3</c:v>
                </c:pt>
                <c:pt idx="9">
                  <c:v>-5.874354304978624E-3</c:v>
                </c:pt>
                <c:pt idx="10">
                  <c:v>-5.7141268043778837E-3</c:v>
                </c:pt>
                <c:pt idx="11">
                  <c:v>-5.307308463670779E-3</c:v>
                </c:pt>
                <c:pt idx="12">
                  <c:v>-2.9306038777576759E-3</c:v>
                </c:pt>
                <c:pt idx="13">
                  <c:v>-1.4590079154004343E-3</c:v>
                </c:pt>
                <c:pt idx="14">
                  <c:v>-2.5823033356573433E-3</c:v>
                </c:pt>
                <c:pt idx="15">
                  <c:v>-5.6152574907173403E-3</c:v>
                </c:pt>
                <c:pt idx="16">
                  <c:v>-9.4856475407141261E-3</c:v>
                </c:pt>
                <c:pt idx="17">
                  <c:v>-7.108942954801023E-3</c:v>
                </c:pt>
                <c:pt idx="18">
                  <c:v>-9.5532587365596555E-3</c:v>
                </c:pt>
                <c:pt idx="19">
                  <c:v>-9.4765541434753686E-3</c:v>
                </c:pt>
                <c:pt idx="20">
                  <c:v>-8.7720040319254622E-3</c:v>
                </c:pt>
                <c:pt idx="21">
                  <c:v>-1.0089046452776529E-2</c:v>
                </c:pt>
                <c:pt idx="22">
                  <c:v>-2.7875605868757702E-2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9F-4349-9E39-1C0ED8407CA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2'!$K$21:$K$977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9F-4349-9E39-1C0ED8407CA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9F-4349-9E39-1C0ED8407CA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9F-4349-9E39-1C0ED8407CA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plus>
            <c:minus>
              <c:numRef>
                <c:f>'Active 2'!$D$21:$D$977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8.3000000000000001E-3</c:v>
                  </c:pt>
                  <c:pt idx="2">
                    <c:v>5.9999999999999995E-4</c:v>
                  </c:pt>
                  <c:pt idx="3">
                    <c:v>2.8999999999999998E-3</c:v>
                  </c:pt>
                  <c:pt idx="4">
                    <c:v>2E-3</c:v>
                  </c:pt>
                  <c:pt idx="5">
                    <c:v>3.0000000000000001E-3</c:v>
                  </c:pt>
                  <c:pt idx="6">
                    <c:v>1.4E-3</c:v>
                  </c:pt>
                  <c:pt idx="7">
                    <c:v>6.9999999999999999E-4</c:v>
                  </c:pt>
                  <c:pt idx="8">
                    <c:v>3.7000000000000002E-3</c:v>
                  </c:pt>
                  <c:pt idx="9">
                    <c:v>5.9999999999999995E-4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3.8E-3</c:v>
                  </c:pt>
                  <c:pt idx="14">
                    <c:v>2.0000000000000001E-4</c:v>
                  </c:pt>
                  <c:pt idx="15">
                    <c:v>1.1999999999999999E-3</c:v>
                  </c:pt>
                  <c:pt idx="16">
                    <c:v>8.9999999999999998E-4</c:v>
                  </c:pt>
                  <c:pt idx="17">
                    <c:v>1E-4</c:v>
                  </c:pt>
                  <c:pt idx="18">
                    <c:v>6.9999999999999999E-4</c:v>
                  </c:pt>
                  <c:pt idx="19">
                    <c:v>1E-4</c:v>
                  </c:pt>
                  <c:pt idx="20">
                    <c:v>6.9999999999999999E-4</c:v>
                  </c:pt>
                  <c:pt idx="21">
                    <c:v>1.1000000000000001E-3</c:v>
                  </c:pt>
                  <c:pt idx="22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9F-4349-9E39-1C0ED8407CA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2'!$F$21:$F$977</c:f>
              <c:numCache>
                <c:formatCode>General</c:formatCode>
                <c:ptCount val="957"/>
                <c:pt idx="0">
                  <c:v>0</c:v>
                </c:pt>
                <c:pt idx="1">
                  <c:v>877</c:v>
                </c:pt>
                <c:pt idx="2">
                  <c:v>895.5</c:v>
                </c:pt>
                <c:pt idx="3">
                  <c:v>898</c:v>
                </c:pt>
                <c:pt idx="4">
                  <c:v>911</c:v>
                </c:pt>
                <c:pt idx="5">
                  <c:v>984.5</c:v>
                </c:pt>
                <c:pt idx="6">
                  <c:v>987</c:v>
                </c:pt>
                <c:pt idx="7">
                  <c:v>992</c:v>
                </c:pt>
                <c:pt idx="8">
                  <c:v>995</c:v>
                </c:pt>
                <c:pt idx="9">
                  <c:v>997.5</c:v>
                </c:pt>
                <c:pt idx="10">
                  <c:v>1000.5</c:v>
                </c:pt>
                <c:pt idx="11">
                  <c:v>1002.5</c:v>
                </c:pt>
                <c:pt idx="12">
                  <c:v>1003</c:v>
                </c:pt>
                <c:pt idx="13">
                  <c:v>1068</c:v>
                </c:pt>
                <c:pt idx="14">
                  <c:v>1068.5</c:v>
                </c:pt>
                <c:pt idx="15">
                  <c:v>1073.5</c:v>
                </c:pt>
                <c:pt idx="16">
                  <c:v>1903.5</c:v>
                </c:pt>
                <c:pt idx="17">
                  <c:v>1904</c:v>
                </c:pt>
                <c:pt idx="18">
                  <c:v>1935</c:v>
                </c:pt>
                <c:pt idx="19">
                  <c:v>1935.5</c:v>
                </c:pt>
                <c:pt idx="20">
                  <c:v>1995.5</c:v>
                </c:pt>
                <c:pt idx="21">
                  <c:v>2034.5</c:v>
                </c:pt>
                <c:pt idx="22">
                  <c:v>6827</c:v>
                </c:pt>
              </c:numCache>
            </c:numRef>
          </c:xVal>
          <c:yVal>
            <c:numRef>
              <c:f>'Active 2'!$O$21:$O$977</c:f>
              <c:numCache>
                <c:formatCode>General</c:formatCode>
                <c:ptCount val="957"/>
                <c:pt idx="0">
                  <c:v>-8.4037244326550659E-6</c:v>
                </c:pt>
                <c:pt idx="1">
                  <c:v>-3.6955529074594162E-3</c:v>
                </c:pt>
                <c:pt idx="2">
                  <c:v>-3.7733319951287377E-3</c:v>
                </c:pt>
                <c:pt idx="3">
                  <c:v>-3.7838426826516188E-3</c:v>
                </c:pt>
                <c:pt idx="4">
                  <c:v>-3.8384982577706018E-3</c:v>
                </c:pt>
                <c:pt idx="5">
                  <c:v>-4.147512470943312E-3</c:v>
                </c:pt>
                <c:pt idx="6">
                  <c:v>-4.1580231584661936E-3</c:v>
                </c:pt>
                <c:pt idx="7">
                  <c:v>-4.1790445335119558E-3</c:v>
                </c:pt>
                <c:pt idx="8">
                  <c:v>-4.1916573585394131E-3</c:v>
                </c:pt>
                <c:pt idx="9">
                  <c:v>-4.2021680460622947E-3</c:v>
                </c:pt>
                <c:pt idx="10">
                  <c:v>-4.214780871089752E-3</c:v>
                </c:pt>
                <c:pt idx="11">
                  <c:v>-4.2231894211080577E-3</c:v>
                </c:pt>
                <c:pt idx="12">
                  <c:v>-4.2252915586126335E-3</c:v>
                </c:pt>
                <c:pt idx="13">
                  <c:v>-4.4985694342075475E-3</c:v>
                </c:pt>
                <c:pt idx="14">
                  <c:v>-4.5006715717121233E-3</c:v>
                </c:pt>
                <c:pt idx="15">
                  <c:v>-4.5216929467578864E-3</c:v>
                </c:pt>
                <c:pt idx="16">
                  <c:v>-8.0112412043544783E-3</c:v>
                </c:pt>
                <c:pt idx="17">
                  <c:v>-8.0133433418590558E-3</c:v>
                </c:pt>
                <c:pt idx="18">
                  <c:v>-8.1436758671427825E-3</c:v>
                </c:pt>
                <c:pt idx="19">
                  <c:v>-8.14577800464736E-3</c:v>
                </c:pt>
                <c:pt idx="20">
                  <c:v>-8.39803450519651E-3</c:v>
                </c:pt>
                <c:pt idx="21">
                  <c:v>-8.5620012305534596E-3</c:v>
                </c:pt>
                <c:pt idx="22">
                  <c:v>-2.8710989211916914E-2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F-4349-9E39-1C0ED840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27432"/>
        <c:axId val="1"/>
      </c:scatterChart>
      <c:valAx>
        <c:axId val="8540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2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345864661654135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3AF3BC-967A-8358-E09E-CF99112BC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17F6FEE-6F7F-497B-2BDC-87EE65250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3" t="s">
        <v>44</v>
      </c>
    </row>
    <row r="2" spans="1:7" s="6" customFormat="1" ht="12.95" customHeight="1" x14ac:dyDescent="0.2">
      <c r="A2" s="6" t="s">
        <v>23</v>
      </c>
      <c r="B2" s="6" t="s">
        <v>38</v>
      </c>
      <c r="C2" s="7"/>
    </row>
    <row r="3" spans="1:7" s="6" customFormat="1" ht="12.95" customHeight="1" thickBot="1" x14ac:dyDescent="0.25"/>
    <row r="4" spans="1:7" s="6" customFormat="1" ht="12.95" customHeight="1" thickBot="1" x14ac:dyDescent="0.25">
      <c r="A4" s="8" t="s">
        <v>40</v>
      </c>
      <c r="C4" s="9">
        <v>52874.5556</v>
      </c>
      <c r="D4" s="10">
        <v>0.38159999999999999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0</v>
      </c>
    </row>
    <row r="7" spans="1:7" s="6" customFormat="1" ht="12.95" customHeight="1" x14ac:dyDescent="0.2">
      <c r="A7" s="6" t="s">
        <v>1</v>
      </c>
      <c r="C7" s="6">
        <f>+C4</f>
        <v>52874.5556</v>
      </c>
      <c r="D7" s="34" t="s">
        <v>28</v>
      </c>
    </row>
    <row r="8" spans="1:7" s="6" customFormat="1" ht="12.95" customHeight="1" x14ac:dyDescent="0.2">
      <c r="A8" s="6" t="s">
        <v>2</v>
      </c>
      <c r="C8" s="6">
        <f>+D4</f>
        <v>0.38159999999999999</v>
      </c>
      <c r="D8" s="34" t="s">
        <v>51</v>
      </c>
    </row>
    <row r="9" spans="1:7" s="6" customFormat="1" ht="12.95" customHeight="1" x14ac:dyDescent="0.2">
      <c r="A9" s="11" t="s">
        <v>30</v>
      </c>
      <c r="C9" s="12">
        <v>-9.5</v>
      </c>
      <c r="D9" s="6" t="s">
        <v>31</v>
      </c>
    </row>
    <row r="10" spans="1:7" s="6" customFormat="1" ht="12.95" customHeight="1" thickBot="1" x14ac:dyDescent="0.25">
      <c r="C10" s="13" t="s">
        <v>19</v>
      </c>
      <c r="D10" s="13" t="s">
        <v>20</v>
      </c>
    </row>
    <row r="11" spans="1:7" s="6" customFormat="1" ht="12.95" customHeight="1" x14ac:dyDescent="0.2">
      <c r="A11" s="6" t="s">
        <v>14</v>
      </c>
      <c r="C11" s="14">
        <f ca="1">INTERCEPT(INDIRECT($G$11):G992,INDIRECT($F$11):F992)</f>
        <v>6.6145160315948789E-2</v>
      </c>
      <c r="D11" s="7"/>
      <c r="F11" s="15" t="str">
        <f>"F"&amp;E19</f>
        <v>F22</v>
      </c>
      <c r="G11" s="14" t="str">
        <f>"G"&amp;E19</f>
        <v>G22</v>
      </c>
    </row>
    <row r="12" spans="1:7" s="6" customFormat="1" ht="12.95" customHeight="1" x14ac:dyDescent="0.2">
      <c r="A12" s="6" t="s">
        <v>15</v>
      </c>
      <c r="C12" s="14">
        <f ca="1">SLOPE(INDIRECT($G$11):G992,INDIRECT($F$11):F992)</f>
        <v>-1.9127629721001884E-5</v>
      </c>
      <c r="D12" s="7"/>
      <c r="E12" s="35" t="s">
        <v>52</v>
      </c>
      <c r="F12" s="36" t="s">
        <v>53</v>
      </c>
    </row>
    <row r="13" spans="1:7" s="6" customFormat="1" ht="12.95" customHeight="1" x14ac:dyDescent="0.2">
      <c r="A13" s="6" t="s">
        <v>18</v>
      </c>
      <c r="C13" s="7" t="s">
        <v>12</v>
      </c>
      <c r="D13" s="7"/>
      <c r="E13" s="37" t="s">
        <v>47</v>
      </c>
      <c r="F13" s="38">
        <v>1</v>
      </c>
    </row>
    <row r="14" spans="1:7" s="6" customFormat="1" ht="12.95" customHeight="1" x14ac:dyDescent="0.2">
      <c r="E14" s="37" t="s">
        <v>32</v>
      </c>
      <c r="F14" s="39">
        <f ca="1">NOW()+15018.5+$C$5/24</f>
        <v>60520.149979398149</v>
      </c>
    </row>
    <row r="15" spans="1:7" s="6" customFormat="1" ht="12.95" customHeight="1" x14ac:dyDescent="0.2">
      <c r="A15" s="16" t="s">
        <v>16</v>
      </c>
      <c r="C15" s="17">
        <f ca="1">(C7+C11)+(C8+C12)*INT(MAX(F21:F3533))</f>
        <v>55481.200684321688</v>
      </c>
      <c r="D15" s="18"/>
      <c r="E15" s="37" t="s">
        <v>48</v>
      </c>
      <c r="F15" s="39">
        <f ca="1">ROUND(2*(F14-$C$7)/$C$8,0)/2+F13</f>
        <v>20036.5</v>
      </c>
    </row>
    <row r="16" spans="1:7" s="6" customFormat="1" ht="12.95" customHeight="1" x14ac:dyDescent="0.2">
      <c r="A16" s="8" t="s">
        <v>3</v>
      </c>
      <c r="C16" s="20">
        <f ca="1">+C8+C12</f>
        <v>0.38158087237027899</v>
      </c>
      <c r="D16" s="18"/>
      <c r="E16" s="37" t="s">
        <v>33</v>
      </c>
      <c r="F16" s="39">
        <f ca="1">ROUND(2*(F14-$C$15)/$C$16,0)/2+F13</f>
        <v>13206.5</v>
      </c>
    </row>
    <row r="17" spans="1:18" s="6" customFormat="1" ht="12.95" customHeight="1" thickBot="1" x14ac:dyDescent="0.25">
      <c r="A17" s="18" t="s">
        <v>29</v>
      </c>
      <c r="C17" s="6">
        <f>COUNT(C21:C2191)</f>
        <v>23</v>
      </c>
      <c r="D17" s="18"/>
      <c r="E17" s="40" t="s">
        <v>49</v>
      </c>
      <c r="F17" s="41">
        <f ca="1">+$C$15+$C$16*$F$16-15018.5-$C$9/24</f>
        <v>45502.444308613114</v>
      </c>
    </row>
    <row r="18" spans="1:18" s="6" customFormat="1" ht="12.95" customHeight="1" thickTop="1" thickBot="1" x14ac:dyDescent="0.25">
      <c r="A18" s="8" t="s">
        <v>4</v>
      </c>
      <c r="C18" s="22">
        <f ca="1">+C15</f>
        <v>55481.200684321688</v>
      </c>
      <c r="D18" s="23">
        <f ca="1">+C16</f>
        <v>0.38158087237027899</v>
      </c>
      <c r="E18" s="43" t="s">
        <v>50</v>
      </c>
      <c r="F18" s="42">
        <f ca="1">+($C$15+$C$16*$F$16)-($C$16/2)-15018.5-$C$9/24</f>
        <v>45502.253518176927</v>
      </c>
    </row>
    <row r="19" spans="1:18" s="6" customFormat="1" ht="12.95" customHeight="1" thickTop="1" x14ac:dyDescent="0.2">
      <c r="A19" s="25" t="s">
        <v>36</v>
      </c>
      <c r="E19" s="26">
        <v>22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7" t="s">
        <v>45</v>
      </c>
      <c r="I20" s="27" t="s">
        <v>46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13</v>
      </c>
    </row>
    <row r="21" spans="1:18" s="6" customFormat="1" ht="12.95" customHeight="1" x14ac:dyDescent="0.2">
      <c r="A21" s="6" t="s">
        <v>39</v>
      </c>
      <c r="C21" s="29">
        <v>52874.5556</v>
      </c>
      <c r="D21" s="29" t="s">
        <v>12</v>
      </c>
      <c r="E21" s="6">
        <f t="shared" ref="E21:E42" si="0">+(C21-C$7)/C$8</f>
        <v>0</v>
      </c>
      <c r="F21" s="6">
        <f t="shared" ref="F21:F42" si="1">ROUND(2*E21,0)/2</f>
        <v>0</v>
      </c>
      <c r="G21" s="6">
        <f t="shared" ref="G21:G42" si="2">+C21-(C$7+F21*C$8)</f>
        <v>0</v>
      </c>
      <c r="H21" s="6">
        <f t="shared" ref="H21" si="3">+G21</f>
        <v>0</v>
      </c>
      <c r="O21" s="6">
        <f t="shared" ref="O21:O42" ca="1" si="4">+C$11+C$12*$F21</f>
        <v>6.6145160315948789E-2</v>
      </c>
      <c r="Q21" s="30">
        <f t="shared" ref="Q21:Q42" si="5">+C21-15018.5</f>
        <v>37856.0556</v>
      </c>
    </row>
    <row r="22" spans="1:18" s="6" customFormat="1" ht="12.95" customHeight="1" x14ac:dyDescent="0.2">
      <c r="A22" s="29" t="s">
        <v>41</v>
      </c>
      <c r="B22" s="31" t="s">
        <v>42</v>
      </c>
      <c r="C22" s="29">
        <v>53209.432699999998</v>
      </c>
      <c r="D22" s="29">
        <v>8.3000000000000001E-3</v>
      </c>
      <c r="E22" s="6">
        <f t="shared" si="0"/>
        <v>877.56053459118948</v>
      </c>
      <c r="F22" s="6">
        <f t="shared" si="1"/>
        <v>877.5</v>
      </c>
      <c r="G22" s="6">
        <f t="shared" si="2"/>
        <v>2.3099999998521525E-2</v>
      </c>
      <c r="I22" s="6">
        <f t="shared" ref="I22:I36" si="6">+G22</f>
        <v>2.3099999998521525E-2</v>
      </c>
      <c r="O22" s="6">
        <f t="shared" ca="1" si="4"/>
        <v>4.9360665235769638E-2</v>
      </c>
      <c r="Q22" s="30">
        <f t="shared" si="5"/>
        <v>38190.932699999998</v>
      </c>
      <c r="R22" s="6" t="str">
        <f>IF(ABS(C22-C21)&lt;0.00001,1,"")</f>
        <v/>
      </c>
    </row>
    <row r="23" spans="1:18" s="6" customFormat="1" ht="12.95" customHeight="1" x14ac:dyDescent="0.2">
      <c r="A23" s="29" t="s">
        <v>41</v>
      </c>
      <c r="B23" s="31" t="s">
        <v>42</v>
      </c>
      <c r="C23" s="29">
        <v>53216.494299999998</v>
      </c>
      <c r="D23" s="29">
        <v>5.9999999999999995E-4</v>
      </c>
      <c r="E23" s="6">
        <f t="shared" si="0"/>
        <v>896.06577568133855</v>
      </c>
      <c r="F23" s="6">
        <f t="shared" si="1"/>
        <v>896</v>
      </c>
      <c r="G23" s="6">
        <f t="shared" si="2"/>
        <v>2.5099999998928979E-2</v>
      </c>
      <c r="I23" s="6">
        <f t="shared" si="6"/>
        <v>2.5099999998928979E-2</v>
      </c>
      <c r="O23" s="6">
        <f t="shared" ca="1" si="4"/>
        <v>4.9006804085931097E-2</v>
      </c>
      <c r="Q23" s="30">
        <f t="shared" si="5"/>
        <v>38197.994299999998</v>
      </c>
    </row>
    <row r="24" spans="1:18" s="6" customFormat="1" ht="12.95" customHeight="1" x14ac:dyDescent="0.2">
      <c r="A24" s="29" t="s">
        <v>41</v>
      </c>
      <c r="B24" s="31" t="s">
        <v>42</v>
      </c>
      <c r="C24" s="29">
        <v>53217.450199999999</v>
      </c>
      <c r="D24" s="29">
        <v>2.8999999999999998E-3</v>
      </c>
      <c r="E24" s="6">
        <f t="shared" si="0"/>
        <v>898.57075471698022</v>
      </c>
      <c r="F24" s="6">
        <f t="shared" si="1"/>
        <v>898.5</v>
      </c>
      <c r="G24" s="6">
        <f t="shared" si="2"/>
        <v>2.7000000001862645E-2</v>
      </c>
      <c r="I24" s="6">
        <f t="shared" si="6"/>
        <v>2.7000000001862645E-2</v>
      </c>
      <c r="O24" s="6">
        <f t="shared" ca="1" si="4"/>
        <v>4.8958985011628597E-2</v>
      </c>
      <c r="Q24" s="30">
        <f t="shared" si="5"/>
        <v>38198.950199999999</v>
      </c>
    </row>
    <row r="25" spans="1:18" s="6" customFormat="1" ht="12.95" customHeight="1" x14ac:dyDescent="0.2">
      <c r="A25" s="29" t="s">
        <v>41</v>
      </c>
      <c r="B25" s="31" t="s">
        <v>42</v>
      </c>
      <c r="C25" s="29">
        <v>53222.414299999997</v>
      </c>
      <c r="D25" s="29">
        <v>2E-3</v>
      </c>
      <c r="E25" s="6">
        <f t="shared" si="0"/>
        <v>911.57940251571551</v>
      </c>
      <c r="F25" s="6">
        <f t="shared" si="1"/>
        <v>911.5</v>
      </c>
      <c r="G25" s="6">
        <f t="shared" si="2"/>
        <v>3.0299999998533167E-2</v>
      </c>
      <c r="I25" s="6">
        <f t="shared" si="6"/>
        <v>3.0299999998533167E-2</v>
      </c>
      <c r="O25" s="6">
        <f t="shared" ca="1" si="4"/>
        <v>4.8710325825255571E-2</v>
      </c>
      <c r="Q25" s="30">
        <f t="shared" si="5"/>
        <v>38203.914299999997</v>
      </c>
    </row>
    <row r="26" spans="1:18" s="6" customFormat="1" ht="12.95" customHeight="1" x14ac:dyDescent="0.2">
      <c r="A26" s="2" t="s">
        <v>41</v>
      </c>
      <c r="B26" s="3" t="s">
        <v>42</v>
      </c>
      <c r="C26" s="2">
        <v>53250.477899999998</v>
      </c>
      <c r="D26" s="2">
        <v>3.0000000000000001E-3</v>
      </c>
      <c r="E26" s="6">
        <f t="shared" si="0"/>
        <v>985.12133123689296</v>
      </c>
      <c r="F26" s="6">
        <f t="shared" si="1"/>
        <v>985</v>
      </c>
      <c r="G26" s="6">
        <f t="shared" si="2"/>
        <v>4.6300000001792796E-2</v>
      </c>
      <c r="I26" s="6">
        <f t="shared" si="6"/>
        <v>4.6300000001792796E-2</v>
      </c>
      <c r="O26" s="6">
        <f t="shared" ca="1" si="4"/>
        <v>4.7304445040761936E-2</v>
      </c>
      <c r="Q26" s="30">
        <f t="shared" si="5"/>
        <v>38231.977899999998</v>
      </c>
    </row>
    <row r="27" spans="1:18" s="6" customFormat="1" ht="12.95" customHeight="1" x14ac:dyDescent="0.2">
      <c r="A27" s="2" t="s">
        <v>41</v>
      </c>
      <c r="B27" s="3" t="s">
        <v>42</v>
      </c>
      <c r="C27" s="2">
        <v>53251.435700000002</v>
      </c>
      <c r="D27" s="2">
        <v>1.4E-3</v>
      </c>
      <c r="E27" s="6">
        <f t="shared" si="0"/>
        <v>987.63128930818175</v>
      </c>
      <c r="F27" s="6">
        <f t="shared" si="1"/>
        <v>987.5</v>
      </c>
      <c r="G27" s="6">
        <f t="shared" si="2"/>
        <v>5.0100000000384171E-2</v>
      </c>
      <c r="I27" s="6">
        <f t="shared" si="6"/>
        <v>5.0100000000384171E-2</v>
      </c>
      <c r="O27" s="6">
        <f t="shared" ca="1" si="4"/>
        <v>4.725662596645943E-2</v>
      </c>
      <c r="Q27" s="30">
        <f t="shared" si="5"/>
        <v>38232.935700000002</v>
      </c>
    </row>
    <row r="28" spans="1:18" s="6" customFormat="1" ht="12.95" customHeight="1" x14ac:dyDescent="0.2">
      <c r="A28" s="2" t="s">
        <v>41</v>
      </c>
      <c r="B28" s="3" t="s">
        <v>42</v>
      </c>
      <c r="C28" s="2">
        <v>53253.344499999999</v>
      </c>
      <c r="D28" s="2">
        <v>6.9999999999999999E-4</v>
      </c>
      <c r="E28" s="6">
        <f t="shared" si="0"/>
        <v>992.63338574423369</v>
      </c>
      <c r="F28" s="6">
        <f t="shared" si="1"/>
        <v>992.5</v>
      </c>
      <c r="G28" s="6">
        <f t="shared" si="2"/>
        <v>5.0900000002002344E-2</v>
      </c>
      <c r="I28" s="6">
        <f t="shared" si="6"/>
        <v>5.0900000002002344E-2</v>
      </c>
      <c r="O28" s="6">
        <f t="shared" ca="1" si="4"/>
        <v>4.7160987817854425E-2</v>
      </c>
      <c r="Q28" s="30">
        <f t="shared" si="5"/>
        <v>38234.844499999999</v>
      </c>
    </row>
    <row r="29" spans="1:18" s="6" customFormat="1" ht="12.95" customHeight="1" x14ac:dyDescent="0.2">
      <c r="A29" s="2" t="s">
        <v>41</v>
      </c>
      <c r="B29" s="3" t="s">
        <v>42</v>
      </c>
      <c r="C29" s="2">
        <v>53254.4902</v>
      </c>
      <c r="D29" s="2">
        <v>3.7000000000000002E-3</v>
      </c>
      <c r="E29" s="6">
        <f t="shared" si="0"/>
        <v>995.63574423480213</v>
      </c>
      <c r="F29" s="6">
        <f t="shared" si="1"/>
        <v>995.5</v>
      </c>
      <c r="G29" s="6">
        <f t="shared" si="2"/>
        <v>5.1800000001094304E-2</v>
      </c>
      <c r="I29" s="6">
        <f t="shared" si="6"/>
        <v>5.1800000001094304E-2</v>
      </c>
      <c r="O29" s="6">
        <f t="shared" ca="1" si="4"/>
        <v>4.7103604928691409E-2</v>
      </c>
      <c r="Q29" s="30">
        <f t="shared" si="5"/>
        <v>38235.9902</v>
      </c>
    </row>
    <row r="30" spans="1:18" s="6" customFormat="1" ht="12.95" customHeight="1" x14ac:dyDescent="0.2">
      <c r="A30" s="2" t="s">
        <v>41</v>
      </c>
      <c r="B30" s="3" t="s">
        <v>42</v>
      </c>
      <c r="C30" s="2">
        <v>53255.441700000003</v>
      </c>
      <c r="D30" s="2">
        <v>5.9999999999999995E-4</v>
      </c>
      <c r="E30" s="6">
        <f t="shared" si="0"/>
        <v>998.12919287212617</v>
      </c>
      <c r="F30" s="6">
        <f t="shared" si="1"/>
        <v>998</v>
      </c>
      <c r="G30" s="6">
        <f t="shared" si="2"/>
        <v>4.9300000006041955E-2</v>
      </c>
      <c r="I30" s="6">
        <f t="shared" si="6"/>
        <v>4.9300000006041955E-2</v>
      </c>
      <c r="O30" s="6">
        <f t="shared" ca="1" si="4"/>
        <v>4.705578585438891E-2</v>
      </c>
      <c r="Q30" s="30">
        <f t="shared" si="5"/>
        <v>38236.941700000003</v>
      </c>
    </row>
    <row r="31" spans="1:18" s="6" customFormat="1" ht="12.95" customHeight="1" x14ac:dyDescent="0.2">
      <c r="A31" s="2" t="s">
        <v>41</v>
      </c>
      <c r="B31" s="3" t="s">
        <v>42</v>
      </c>
      <c r="C31" s="2">
        <v>53256.587399999997</v>
      </c>
      <c r="D31" s="2">
        <v>8.9999999999999998E-4</v>
      </c>
      <c r="E31" s="6">
        <f t="shared" si="0"/>
        <v>1001.1315513626756</v>
      </c>
      <c r="F31" s="6">
        <f t="shared" si="1"/>
        <v>1001</v>
      </c>
      <c r="G31" s="6">
        <f t="shared" si="2"/>
        <v>5.0199999997857958E-2</v>
      </c>
      <c r="I31" s="6">
        <f t="shared" si="6"/>
        <v>5.0199999997857958E-2</v>
      </c>
      <c r="O31" s="6">
        <f t="shared" ca="1" si="4"/>
        <v>4.6998402965225908E-2</v>
      </c>
      <c r="Q31" s="30">
        <f t="shared" si="5"/>
        <v>38238.087399999997</v>
      </c>
    </row>
    <row r="32" spans="1:18" s="6" customFormat="1" ht="12.95" customHeight="1" x14ac:dyDescent="0.2">
      <c r="A32" s="2" t="s">
        <v>41</v>
      </c>
      <c r="B32" s="3" t="s">
        <v>42</v>
      </c>
      <c r="C32" s="2">
        <v>53257.351499999997</v>
      </c>
      <c r="D32" s="2">
        <v>2.0000000000000001E-4</v>
      </c>
      <c r="E32" s="6">
        <f t="shared" si="0"/>
        <v>1003.1339098532426</v>
      </c>
      <c r="F32" s="6">
        <f t="shared" si="1"/>
        <v>1003</v>
      </c>
      <c r="G32" s="6">
        <f t="shared" si="2"/>
        <v>5.1099999996949919E-2</v>
      </c>
      <c r="I32" s="6">
        <f t="shared" si="6"/>
        <v>5.1099999996949919E-2</v>
      </c>
      <c r="O32" s="6">
        <f t="shared" ca="1" si="4"/>
        <v>4.6960147705783897E-2</v>
      </c>
      <c r="Q32" s="30">
        <f t="shared" si="5"/>
        <v>38238.851499999997</v>
      </c>
    </row>
    <row r="33" spans="1:17" s="6" customFormat="1" ht="12.95" customHeight="1" x14ac:dyDescent="0.2">
      <c r="A33" s="2" t="s">
        <v>41</v>
      </c>
      <c r="B33" s="3" t="s">
        <v>42</v>
      </c>
      <c r="C33" s="2">
        <v>53257.544800000003</v>
      </c>
      <c r="D33" s="2">
        <v>4.0000000000000002E-4</v>
      </c>
      <c r="E33" s="6">
        <f t="shared" si="0"/>
        <v>1003.6404612159424</v>
      </c>
      <c r="F33" s="6">
        <f t="shared" si="1"/>
        <v>1003.5</v>
      </c>
      <c r="G33" s="6">
        <f t="shared" si="2"/>
        <v>5.3600000006554183E-2</v>
      </c>
      <c r="I33" s="6">
        <f t="shared" si="6"/>
        <v>5.3600000006554183E-2</v>
      </c>
      <c r="O33" s="6">
        <f t="shared" ca="1" si="4"/>
        <v>4.6950583890923395E-2</v>
      </c>
      <c r="Q33" s="30">
        <f t="shared" si="5"/>
        <v>38239.044800000003</v>
      </c>
    </row>
    <row r="34" spans="1:17" s="6" customFormat="1" ht="12.95" customHeight="1" x14ac:dyDescent="0.2">
      <c r="A34" s="2" t="s">
        <v>41</v>
      </c>
      <c r="B34" s="3" t="s">
        <v>42</v>
      </c>
      <c r="C34" s="2">
        <v>53282.366300000002</v>
      </c>
      <c r="D34" s="2">
        <v>3.8E-3</v>
      </c>
      <c r="E34" s="6">
        <f t="shared" si="0"/>
        <v>1068.6863207547217</v>
      </c>
      <c r="F34" s="6">
        <f t="shared" si="1"/>
        <v>1068.5</v>
      </c>
      <c r="G34" s="6">
        <f t="shared" si="2"/>
        <v>7.1100000001024455E-2</v>
      </c>
      <c r="I34" s="6">
        <f t="shared" si="6"/>
        <v>7.1100000001024455E-2</v>
      </c>
      <c r="O34" s="6">
        <f t="shared" ca="1" si="4"/>
        <v>4.5707287959058276E-2</v>
      </c>
      <c r="Q34" s="30">
        <f t="shared" si="5"/>
        <v>38263.866300000002</v>
      </c>
    </row>
    <row r="35" spans="1:17" x14ac:dyDescent="0.2">
      <c r="A35" s="2" t="s">
        <v>41</v>
      </c>
      <c r="B35" s="3" t="s">
        <v>42</v>
      </c>
      <c r="C35" s="2">
        <v>53282.556100000002</v>
      </c>
      <c r="D35" s="2">
        <v>2.0000000000000001E-4</v>
      </c>
      <c r="E35">
        <f t="shared" si="0"/>
        <v>1069.1837002096486</v>
      </c>
      <c r="F35">
        <f t="shared" si="1"/>
        <v>1069</v>
      </c>
      <c r="G35">
        <f t="shared" si="2"/>
        <v>7.0100000004458707E-2</v>
      </c>
      <c r="I35">
        <f t="shared" si="6"/>
        <v>7.0100000004458707E-2</v>
      </c>
      <c r="O35">
        <f t="shared" ca="1" si="4"/>
        <v>4.5697724144197774E-2</v>
      </c>
      <c r="Q35" s="1">
        <f t="shared" si="5"/>
        <v>38264.056100000002</v>
      </c>
    </row>
    <row r="36" spans="1:17" x14ac:dyDescent="0.2">
      <c r="A36" s="2" t="s">
        <v>41</v>
      </c>
      <c r="B36" s="3" t="s">
        <v>42</v>
      </c>
      <c r="C36" s="2">
        <v>53284.462299999999</v>
      </c>
      <c r="D36" s="2">
        <v>1.1999999999999999E-3</v>
      </c>
      <c r="E36">
        <f t="shared" si="0"/>
        <v>1074.1789832285103</v>
      </c>
      <c r="F36">
        <f t="shared" si="1"/>
        <v>1074</v>
      </c>
      <c r="G36">
        <f t="shared" si="2"/>
        <v>6.8299999998998828E-2</v>
      </c>
      <c r="I36">
        <f t="shared" si="6"/>
        <v>6.8299999998998828E-2</v>
      </c>
      <c r="O36">
        <f t="shared" ca="1" si="4"/>
        <v>4.5602085995592762E-2</v>
      </c>
      <c r="Q36" s="1">
        <f t="shared" si="5"/>
        <v>38265.962299999999</v>
      </c>
    </row>
    <row r="37" spans="1:17" x14ac:dyDescent="0.2">
      <c r="A37" s="2" t="s">
        <v>41</v>
      </c>
      <c r="B37" s="3" t="s">
        <v>42</v>
      </c>
      <c r="C37" s="2">
        <v>53601.391100000001</v>
      </c>
      <c r="D37" s="2">
        <v>8.9999999999999998E-4</v>
      </c>
      <c r="E37">
        <f t="shared" si="0"/>
        <v>1904.7051886792481</v>
      </c>
      <c r="F37">
        <f t="shared" si="1"/>
        <v>1904.5</v>
      </c>
      <c r="G37">
        <f t="shared" si="2"/>
        <v>7.8300000001036096E-2</v>
      </c>
      <c r="I37">
        <v>7.8300000001036096E-2</v>
      </c>
      <c r="O37">
        <f t="shared" ca="1" si="4"/>
        <v>2.9716589512300703E-2</v>
      </c>
      <c r="Q37" s="1">
        <f t="shared" si="5"/>
        <v>38582.891100000001</v>
      </c>
    </row>
    <row r="38" spans="1:17" x14ac:dyDescent="0.2">
      <c r="A38" s="2" t="s">
        <v>41</v>
      </c>
      <c r="B38" s="3" t="s">
        <v>42</v>
      </c>
      <c r="C38" s="2">
        <v>53601.5844</v>
      </c>
      <c r="D38" s="2">
        <v>1E-4</v>
      </c>
      <c r="E38">
        <f t="shared" si="0"/>
        <v>1905.2117400419288</v>
      </c>
      <c r="F38">
        <f t="shared" si="1"/>
        <v>1905</v>
      </c>
      <c r="G38">
        <f t="shared" si="2"/>
        <v>8.0800000003364403E-2</v>
      </c>
      <c r="I38">
        <v>8.0800000003364403E-2</v>
      </c>
      <c r="O38">
        <f t="shared" ca="1" si="4"/>
        <v>2.9707025697440201E-2</v>
      </c>
      <c r="Q38" s="1">
        <f t="shared" si="5"/>
        <v>38583.0844</v>
      </c>
    </row>
    <row r="39" spans="1:17" x14ac:dyDescent="0.2">
      <c r="A39" s="2" t="s">
        <v>41</v>
      </c>
      <c r="B39" s="3" t="s">
        <v>42</v>
      </c>
      <c r="C39" s="2">
        <v>53613.419199999997</v>
      </c>
      <c r="D39" s="2">
        <v>6.9999999999999999E-4</v>
      </c>
      <c r="E39">
        <f t="shared" si="0"/>
        <v>1936.2253668763024</v>
      </c>
      <c r="F39">
        <f t="shared" si="1"/>
        <v>1936</v>
      </c>
      <c r="G39">
        <f t="shared" si="2"/>
        <v>8.5999999995692633E-2</v>
      </c>
      <c r="I39">
        <v>8.5999999995692633E-2</v>
      </c>
      <c r="O39">
        <f t="shared" ca="1" si="4"/>
        <v>2.9114069176089143E-2</v>
      </c>
      <c r="Q39" s="1">
        <f t="shared" si="5"/>
        <v>38594.919199999997</v>
      </c>
    </row>
    <row r="40" spans="1:17" x14ac:dyDescent="0.2">
      <c r="A40" s="2" t="s">
        <v>41</v>
      </c>
      <c r="B40" s="3" t="s">
        <v>42</v>
      </c>
      <c r="C40" s="2">
        <v>53613.610200000003</v>
      </c>
      <c r="D40" s="2">
        <v>1E-4</v>
      </c>
      <c r="E40">
        <f t="shared" si="0"/>
        <v>1936.7258909853331</v>
      </c>
      <c r="F40">
        <f t="shared" si="1"/>
        <v>1936.5</v>
      </c>
      <c r="G40">
        <f t="shared" si="2"/>
        <v>8.6200000005192123E-2</v>
      </c>
      <c r="I40">
        <v>8.6200000005192123E-2</v>
      </c>
      <c r="O40">
        <f t="shared" ca="1" si="4"/>
        <v>2.910450536122864E-2</v>
      </c>
      <c r="Q40" s="1">
        <f t="shared" si="5"/>
        <v>38595.110200000003</v>
      </c>
    </row>
    <row r="41" spans="1:17" x14ac:dyDescent="0.2">
      <c r="A41" s="2" t="s">
        <v>41</v>
      </c>
      <c r="B41" s="3" t="s">
        <v>42</v>
      </c>
      <c r="C41" s="2">
        <v>53636.521699999998</v>
      </c>
      <c r="D41" s="2">
        <v>6.9999999999999999E-4</v>
      </c>
      <c r="E41">
        <f t="shared" si="0"/>
        <v>1996.7665094339566</v>
      </c>
      <c r="F41">
        <f t="shared" si="1"/>
        <v>1997</v>
      </c>
      <c r="G41">
        <f t="shared" si="2"/>
        <v>-8.9100000004691537E-2</v>
      </c>
      <c r="I41">
        <v>-8.9100000004691537E-2</v>
      </c>
      <c r="O41">
        <f t="shared" ca="1" si="4"/>
        <v>2.7947283763108025E-2</v>
      </c>
      <c r="Q41" s="1">
        <f t="shared" si="5"/>
        <v>38618.021699999998</v>
      </c>
    </row>
    <row r="42" spans="1:17" x14ac:dyDescent="0.2">
      <c r="A42" s="2" t="s">
        <v>41</v>
      </c>
      <c r="B42" s="3" t="s">
        <v>42</v>
      </c>
      <c r="C42" s="2">
        <v>53651.412400000001</v>
      </c>
      <c r="D42" s="2">
        <v>1.1000000000000001E-3</v>
      </c>
      <c r="E42">
        <f t="shared" si="0"/>
        <v>2035.7882599580748</v>
      </c>
      <c r="F42">
        <f t="shared" si="1"/>
        <v>2036</v>
      </c>
      <c r="G42">
        <f t="shared" si="2"/>
        <v>-8.0799999996088445E-2</v>
      </c>
      <c r="I42">
        <v>-8.0799999996088445E-2</v>
      </c>
      <c r="O42">
        <f t="shared" ca="1" si="4"/>
        <v>2.7201306203988952E-2</v>
      </c>
      <c r="Q42" s="1">
        <f t="shared" si="5"/>
        <v>38632.912400000001</v>
      </c>
    </row>
    <row r="43" spans="1:17" x14ac:dyDescent="0.2">
      <c r="A43" s="4" t="s">
        <v>43</v>
      </c>
      <c r="B43" s="4"/>
      <c r="C43" s="5">
        <v>55481.394399999997</v>
      </c>
      <c r="D43" s="5">
        <v>4.4000000000000003E-3</v>
      </c>
      <c r="E43">
        <f>+(C43-C$7)/C$8</f>
        <v>6831.3385744234738</v>
      </c>
      <c r="F43">
        <f>ROUND(2*E43,0)/2</f>
        <v>6831.5</v>
      </c>
      <c r="G43">
        <f>+C43-(C$7+F43*C$8)</f>
        <v>-6.160000000090804E-2</v>
      </c>
      <c r="I43">
        <v>-8.0799999996088445E-2</v>
      </c>
      <c r="O43">
        <f ca="1">+C$11+C$12*$F43</f>
        <v>-6.4525242123075574E-2</v>
      </c>
      <c r="Q43" s="1">
        <f>+C43-15018.5</f>
        <v>40462.894399999997</v>
      </c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18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2" t="s">
        <v>44</v>
      </c>
      <c r="D1" s="6" t="s">
        <v>37</v>
      </c>
    </row>
    <row r="2" spans="1:7" s="6" customFormat="1" ht="12.95" customHeight="1" x14ac:dyDescent="0.2">
      <c r="A2" s="6" t="s">
        <v>23</v>
      </c>
      <c r="B2" s="6" t="s">
        <v>38</v>
      </c>
      <c r="C2" s="7"/>
      <c r="D2" s="7"/>
    </row>
    <row r="3" spans="1:7" s="6" customFormat="1" ht="12.95" customHeight="1" thickBot="1" x14ac:dyDescent="0.25"/>
    <row r="4" spans="1:7" s="6" customFormat="1" ht="12.95" customHeight="1" thickBot="1" x14ac:dyDescent="0.25">
      <c r="A4" s="11" t="s">
        <v>40</v>
      </c>
      <c r="C4" s="9">
        <v>52874.5556</v>
      </c>
      <c r="D4" s="10">
        <v>0.38159999999999999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0</v>
      </c>
    </row>
    <row r="7" spans="1:7" s="6" customFormat="1" ht="12.95" customHeight="1" x14ac:dyDescent="0.2">
      <c r="A7" s="6" t="s">
        <v>1</v>
      </c>
      <c r="C7" s="6">
        <f>+C4</f>
        <v>52874.5556</v>
      </c>
    </row>
    <row r="8" spans="1:7" s="6" customFormat="1" ht="12.95" customHeight="1" x14ac:dyDescent="0.2">
      <c r="A8" s="6" t="s">
        <v>2</v>
      </c>
      <c r="C8" s="18">
        <v>0.38184659083138556</v>
      </c>
    </row>
    <row r="9" spans="1:7" s="6" customFormat="1" ht="12.95" customHeight="1" x14ac:dyDescent="0.2">
      <c r="A9" s="11" t="s">
        <v>30</v>
      </c>
      <c r="C9" s="12">
        <v>-9.5</v>
      </c>
      <c r="D9" s="6" t="s">
        <v>31</v>
      </c>
    </row>
    <row r="10" spans="1:7" s="6" customFormat="1" ht="12.95" customHeight="1" thickBot="1" x14ac:dyDescent="0.25">
      <c r="C10" s="13" t="s">
        <v>19</v>
      </c>
      <c r="D10" s="13" t="s">
        <v>20</v>
      </c>
    </row>
    <row r="11" spans="1:7" s="6" customFormat="1" ht="12.95" customHeight="1" x14ac:dyDescent="0.2">
      <c r="A11" s="6" t="s">
        <v>14</v>
      </c>
      <c r="C11" s="14">
        <f ca="1">INTERCEPT(INDIRECT($G$11):G970,INDIRECT($F$11):F970)</f>
        <v>-8.4037244326550659E-6</v>
      </c>
      <c r="D11" s="7"/>
      <c r="F11" s="15" t="str">
        <f>"F"&amp;E19</f>
        <v>F22</v>
      </c>
      <c r="G11" s="14" t="str">
        <f>"G"&amp;E19</f>
        <v>G22</v>
      </c>
    </row>
    <row r="12" spans="1:7" s="6" customFormat="1" ht="12.95" customHeight="1" x14ac:dyDescent="0.2">
      <c r="A12" s="6" t="s">
        <v>15</v>
      </c>
      <c r="C12" s="14">
        <f ca="1">SLOPE(INDIRECT($G$11):G970,INDIRECT($F$11):F970)</f>
        <v>-4.204275009152521E-6</v>
      </c>
      <c r="D12" s="7"/>
    </row>
    <row r="13" spans="1:7" s="6" customFormat="1" ht="12.95" customHeight="1" x14ac:dyDescent="0.2">
      <c r="A13" s="6" t="s">
        <v>18</v>
      </c>
      <c r="C13" s="7" t="s">
        <v>12</v>
      </c>
      <c r="D13" s="7"/>
    </row>
    <row r="14" spans="1:7" s="6" customFormat="1" ht="12.95" customHeight="1" x14ac:dyDescent="0.2"/>
    <row r="15" spans="1:7" s="6" customFormat="1" ht="12.95" customHeight="1" x14ac:dyDescent="0.2">
      <c r="A15" s="16" t="s">
        <v>16</v>
      </c>
      <c r="C15" s="17">
        <f ca="1">(C7+C11)+(C8+C12)*INT(MAX(F21:F3511))</f>
        <v>55481.393564616657</v>
      </c>
      <c r="D15" s="18" t="s">
        <v>32</v>
      </c>
      <c r="E15" s="19">
        <f ca="1">TODAY()+15018.5-B9/24</f>
        <v>60519.5</v>
      </c>
    </row>
    <row r="16" spans="1:7" s="6" customFormat="1" ht="12.95" customHeight="1" x14ac:dyDescent="0.2">
      <c r="A16" s="8" t="s">
        <v>3</v>
      </c>
      <c r="C16" s="20">
        <f ca="1">+C8+C12</f>
        <v>0.38184238655637642</v>
      </c>
      <c r="D16" s="18" t="s">
        <v>33</v>
      </c>
      <c r="E16" s="19">
        <f ca="1">ROUND(2*(E15-C15)/C16,0)/2+1</f>
        <v>13195</v>
      </c>
    </row>
    <row r="17" spans="1:18" s="6" customFormat="1" ht="12.95" customHeight="1" thickBot="1" x14ac:dyDescent="0.25">
      <c r="A17" s="18" t="s">
        <v>29</v>
      </c>
      <c r="C17" s="6">
        <f>COUNT(C21:C2169)</f>
        <v>23</v>
      </c>
      <c r="D17" s="18" t="s">
        <v>34</v>
      </c>
      <c r="E17" s="21">
        <f ca="1">+C15+C16*E16-15018.5-C9/24</f>
        <v>45501.699688561377</v>
      </c>
    </row>
    <row r="18" spans="1:18" s="6" customFormat="1" ht="12.95" customHeight="1" thickTop="1" thickBot="1" x14ac:dyDescent="0.25">
      <c r="A18" s="8" t="s">
        <v>4</v>
      </c>
      <c r="C18" s="22">
        <f ca="1">+C15</f>
        <v>55481.393564616657</v>
      </c>
      <c r="D18" s="23">
        <f ca="1">+C16</f>
        <v>0.38184238655637642</v>
      </c>
      <c r="E18" s="24" t="s">
        <v>35</v>
      </c>
    </row>
    <row r="19" spans="1:18" s="6" customFormat="1" ht="12.95" customHeight="1" thickTop="1" x14ac:dyDescent="0.2">
      <c r="A19" s="25" t="s">
        <v>36</v>
      </c>
      <c r="E19" s="26">
        <v>22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7" t="s">
        <v>28</v>
      </c>
      <c r="I20" s="27" t="s">
        <v>45</v>
      </c>
      <c r="J20" s="27" t="s">
        <v>46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13</v>
      </c>
    </row>
    <row r="21" spans="1:18" s="6" customFormat="1" ht="12.95" customHeight="1" x14ac:dyDescent="0.2">
      <c r="A21" s="6" t="s">
        <v>39</v>
      </c>
      <c r="C21" s="29">
        <v>52874.5556</v>
      </c>
      <c r="D21" s="29" t="s">
        <v>12</v>
      </c>
      <c r="E21" s="6">
        <f t="shared" ref="E21:E42" si="0">+(C21-C$7)/C$8</f>
        <v>0</v>
      </c>
      <c r="F21" s="6">
        <f t="shared" ref="F21:F43" si="1">ROUND(2*E21,0)/2</f>
        <v>0</v>
      </c>
      <c r="G21" s="6">
        <f t="shared" ref="G21:G42" si="2">+C21-(C$7+F21*C$8)</f>
        <v>0</v>
      </c>
      <c r="H21" s="6">
        <f t="shared" ref="H21" si="3">+G21</f>
        <v>0</v>
      </c>
      <c r="O21" s="6">
        <f t="shared" ref="O21:O42" ca="1" si="4">+C$11+C$12*$F21</f>
        <v>-8.4037244326550659E-6</v>
      </c>
      <c r="Q21" s="30">
        <f t="shared" ref="Q21:Q42" si="5">+C21-15018.5</f>
        <v>37856.0556</v>
      </c>
    </row>
    <row r="22" spans="1:18" s="6" customFormat="1" ht="12.95" customHeight="1" x14ac:dyDescent="0.2">
      <c r="A22" s="29" t="s">
        <v>41</v>
      </c>
      <c r="B22" s="31" t="s">
        <v>42</v>
      </c>
      <c r="C22" s="29">
        <v>53209.432699999998</v>
      </c>
      <c r="D22" s="29">
        <v>8.3000000000000001E-3</v>
      </c>
      <c r="E22" s="6">
        <f t="shared" si="0"/>
        <v>876.99381909074498</v>
      </c>
      <c r="F22" s="6">
        <f t="shared" si="1"/>
        <v>877</v>
      </c>
      <c r="G22" s="6">
        <f t="shared" si="2"/>
        <v>-2.3601591237820685E-3</v>
      </c>
      <c r="J22" s="6">
        <f t="shared" ref="J22:J43" si="6">+G22</f>
        <v>-2.3601591237820685E-3</v>
      </c>
      <c r="O22" s="6">
        <f t="shared" ca="1" si="4"/>
        <v>-3.6955529074594162E-3</v>
      </c>
      <c r="Q22" s="30">
        <f t="shared" si="5"/>
        <v>38190.932699999998</v>
      </c>
      <c r="R22" s="6" t="str">
        <f>IF(ABS(C22-C21)&lt;0.00001,1,"")</f>
        <v/>
      </c>
    </row>
    <row r="23" spans="1:18" s="6" customFormat="1" ht="12.95" customHeight="1" x14ac:dyDescent="0.2">
      <c r="A23" s="29" t="s">
        <v>41</v>
      </c>
      <c r="B23" s="31" t="s">
        <v>42</v>
      </c>
      <c r="C23" s="29">
        <v>53216.494299999998</v>
      </c>
      <c r="D23" s="29">
        <v>5.9999999999999995E-4</v>
      </c>
      <c r="E23" s="6">
        <f t="shared" si="0"/>
        <v>895.48710977228768</v>
      </c>
      <c r="F23" s="6">
        <f t="shared" si="1"/>
        <v>895.5</v>
      </c>
      <c r="G23" s="6">
        <f t="shared" si="2"/>
        <v>-4.9220895089092664E-3</v>
      </c>
      <c r="J23" s="6">
        <f t="shared" si="6"/>
        <v>-4.9220895089092664E-3</v>
      </c>
      <c r="O23" s="6">
        <f t="shared" ca="1" si="4"/>
        <v>-3.7733319951287377E-3</v>
      </c>
      <c r="Q23" s="30">
        <f t="shared" si="5"/>
        <v>38197.994299999998</v>
      </c>
    </row>
    <row r="24" spans="1:18" s="6" customFormat="1" ht="12.95" customHeight="1" x14ac:dyDescent="0.2">
      <c r="A24" s="29" t="s">
        <v>41</v>
      </c>
      <c r="B24" s="31" t="s">
        <v>42</v>
      </c>
      <c r="C24" s="29">
        <v>53217.450199999999</v>
      </c>
      <c r="D24" s="29">
        <v>2.8999999999999998E-3</v>
      </c>
      <c r="E24" s="6">
        <f t="shared" si="0"/>
        <v>897.99047112984124</v>
      </c>
      <c r="F24" s="6">
        <f t="shared" si="1"/>
        <v>898</v>
      </c>
      <c r="G24" s="6">
        <f t="shared" si="2"/>
        <v>-3.6385665880516171E-3</v>
      </c>
      <c r="J24" s="6">
        <f t="shared" si="6"/>
        <v>-3.6385665880516171E-3</v>
      </c>
      <c r="O24" s="6">
        <f t="shared" ca="1" si="4"/>
        <v>-3.7838426826516188E-3</v>
      </c>
      <c r="Q24" s="30">
        <f t="shared" si="5"/>
        <v>38198.950199999999</v>
      </c>
    </row>
    <row r="25" spans="1:18" s="6" customFormat="1" ht="12.95" customHeight="1" x14ac:dyDescent="0.2">
      <c r="A25" s="29" t="s">
        <v>41</v>
      </c>
      <c r="B25" s="31" t="s">
        <v>42</v>
      </c>
      <c r="C25" s="29">
        <v>53222.414299999997</v>
      </c>
      <c r="D25" s="29">
        <v>2E-3</v>
      </c>
      <c r="E25" s="6">
        <f t="shared" si="0"/>
        <v>910.99071813791113</v>
      </c>
      <c r="F25" s="6">
        <f t="shared" si="1"/>
        <v>911</v>
      </c>
      <c r="G25" s="6">
        <f t="shared" si="2"/>
        <v>-3.5442473963485099E-3</v>
      </c>
      <c r="J25" s="6">
        <f t="shared" si="6"/>
        <v>-3.5442473963485099E-3</v>
      </c>
      <c r="O25" s="6">
        <f t="shared" ca="1" si="4"/>
        <v>-3.8384982577706018E-3</v>
      </c>
      <c r="Q25" s="30">
        <f t="shared" si="5"/>
        <v>38203.914299999997</v>
      </c>
    </row>
    <row r="26" spans="1:18" x14ac:dyDescent="0.2">
      <c r="A26" s="2" t="s">
        <v>41</v>
      </c>
      <c r="B26" s="3" t="s">
        <v>42</v>
      </c>
      <c r="C26" s="2">
        <v>53250.477899999998</v>
      </c>
      <c r="D26" s="2">
        <v>3.0000000000000001E-3</v>
      </c>
      <c r="E26">
        <f t="shared" si="0"/>
        <v>984.48515457873179</v>
      </c>
      <c r="F26">
        <f t="shared" si="1"/>
        <v>984.5</v>
      </c>
      <c r="G26">
        <f t="shared" si="2"/>
        <v>-5.6686735042603686E-3</v>
      </c>
      <c r="J26">
        <f t="shared" si="6"/>
        <v>-5.6686735042603686E-3</v>
      </c>
      <c r="O26">
        <f t="shared" ca="1" si="4"/>
        <v>-4.147512470943312E-3</v>
      </c>
      <c r="Q26" s="1">
        <f t="shared" si="5"/>
        <v>38231.977899999998</v>
      </c>
    </row>
    <row r="27" spans="1:18" x14ac:dyDescent="0.2">
      <c r="A27" s="2" t="s">
        <v>41</v>
      </c>
      <c r="B27" s="3" t="s">
        <v>42</v>
      </c>
      <c r="C27" s="2">
        <v>53251.435700000002</v>
      </c>
      <c r="D27" s="2">
        <v>1.4E-3</v>
      </c>
      <c r="E27">
        <f t="shared" si="0"/>
        <v>986.9934917565455</v>
      </c>
      <c r="F27">
        <f t="shared" si="1"/>
        <v>987</v>
      </c>
      <c r="G27">
        <f t="shared" si="2"/>
        <v>-2.4851505731930956E-3</v>
      </c>
      <c r="J27">
        <f t="shared" si="6"/>
        <v>-2.4851505731930956E-3</v>
      </c>
      <c r="O27">
        <f t="shared" ca="1" si="4"/>
        <v>-4.1580231584661936E-3</v>
      </c>
      <c r="Q27" s="1">
        <f t="shared" si="5"/>
        <v>38232.935700000002</v>
      </c>
    </row>
    <row r="28" spans="1:18" x14ac:dyDescent="0.2">
      <c r="A28" s="2" t="s">
        <v>41</v>
      </c>
      <c r="B28" s="3" t="s">
        <v>42</v>
      </c>
      <c r="C28" s="2">
        <v>53253.344499999999</v>
      </c>
      <c r="D28" s="2">
        <v>6.9999999999999999E-4</v>
      </c>
      <c r="E28">
        <f t="shared" si="0"/>
        <v>991.99235791334797</v>
      </c>
      <c r="F28">
        <f t="shared" si="1"/>
        <v>992</v>
      </c>
      <c r="G28">
        <f t="shared" si="2"/>
        <v>-2.9181047357269563E-3</v>
      </c>
      <c r="J28">
        <f t="shared" si="6"/>
        <v>-2.9181047357269563E-3</v>
      </c>
      <c r="O28">
        <f t="shared" ca="1" si="4"/>
        <v>-4.1790445335119558E-3</v>
      </c>
      <c r="Q28" s="1">
        <f t="shared" si="5"/>
        <v>38234.844499999999</v>
      </c>
    </row>
    <row r="29" spans="1:18" x14ac:dyDescent="0.2">
      <c r="A29" s="2" t="s">
        <v>41</v>
      </c>
      <c r="B29" s="3" t="s">
        <v>42</v>
      </c>
      <c r="C29" s="2">
        <v>53254.4902</v>
      </c>
      <c r="D29" s="2">
        <v>3.7000000000000002E-3</v>
      </c>
      <c r="E29">
        <f t="shared" si="0"/>
        <v>994.99277752559703</v>
      </c>
      <c r="F29">
        <f t="shared" si="1"/>
        <v>995</v>
      </c>
      <c r="G29">
        <f t="shared" si="2"/>
        <v>-2.7578772278502584E-3</v>
      </c>
      <c r="J29">
        <f t="shared" si="6"/>
        <v>-2.7578772278502584E-3</v>
      </c>
      <c r="O29">
        <f t="shared" ca="1" si="4"/>
        <v>-4.1916573585394131E-3</v>
      </c>
      <c r="Q29" s="1">
        <f t="shared" si="5"/>
        <v>38235.9902</v>
      </c>
    </row>
    <row r="30" spans="1:18" x14ac:dyDescent="0.2">
      <c r="A30" s="2" t="s">
        <v>41</v>
      </c>
      <c r="B30" s="3" t="s">
        <v>42</v>
      </c>
      <c r="C30" s="2">
        <v>53255.441700000003</v>
      </c>
      <c r="D30" s="2">
        <v>5.9999999999999995E-4</v>
      </c>
      <c r="E30">
        <f t="shared" si="0"/>
        <v>997.48461593099216</v>
      </c>
      <c r="F30">
        <f t="shared" si="1"/>
        <v>997.5</v>
      </c>
      <c r="G30">
        <f t="shared" si="2"/>
        <v>-5.874354304978624E-3</v>
      </c>
      <c r="J30">
        <f t="shared" si="6"/>
        <v>-5.874354304978624E-3</v>
      </c>
      <c r="O30">
        <f t="shared" ca="1" si="4"/>
        <v>-4.2021680460622947E-3</v>
      </c>
      <c r="Q30" s="1">
        <f t="shared" si="5"/>
        <v>38236.941700000003</v>
      </c>
    </row>
    <row r="31" spans="1:18" x14ac:dyDescent="0.2">
      <c r="A31" s="2" t="s">
        <v>41</v>
      </c>
      <c r="B31" s="3" t="s">
        <v>42</v>
      </c>
      <c r="C31" s="2">
        <v>53256.587399999997</v>
      </c>
      <c r="D31" s="2">
        <v>8.9999999999999998E-4</v>
      </c>
      <c r="E31">
        <f t="shared" si="0"/>
        <v>1000.4850355432222</v>
      </c>
      <c r="F31">
        <f t="shared" si="1"/>
        <v>1000.5</v>
      </c>
      <c r="G31">
        <f t="shared" si="2"/>
        <v>-5.7141268043778837E-3</v>
      </c>
      <c r="J31">
        <f t="shared" si="6"/>
        <v>-5.7141268043778837E-3</v>
      </c>
      <c r="O31">
        <f t="shared" ca="1" si="4"/>
        <v>-4.214780871089752E-3</v>
      </c>
      <c r="Q31" s="1">
        <f t="shared" si="5"/>
        <v>38238.087399999997</v>
      </c>
    </row>
    <row r="32" spans="1:18" x14ac:dyDescent="0.2">
      <c r="A32" s="2" t="s">
        <v>41</v>
      </c>
      <c r="B32" s="3" t="s">
        <v>42</v>
      </c>
      <c r="C32" s="2">
        <v>53257.351499999997</v>
      </c>
      <c r="D32" s="2">
        <v>2.0000000000000001E-4</v>
      </c>
      <c r="E32">
        <f t="shared" si="0"/>
        <v>1002.4861009405502</v>
      </c>
      <c r="F32">
        <f t="shared" si="1"/>
        <v>1002.5</v>
      </c>
      <c r="G32">
        <f t="shared" si="2"/>
        <v>-5.307308463670779E-3</v>
      </c>
      <c r="J32">
        <f t="shared" si="6"/>
        <v>-5.307308463670779E-3</v>
      </c>
      <c r="O32">
        <f t="shared" ca="1" si="4"/>
        <v>-4.2231894211080577E-3</v>
      </c>
      <c r="Q32" s="1">
        <f t="shared" si="5"/>
        <v>38238.851499999997</v>
      </c>
    </row>
    <row r="33" spans="1:17" x14ac:dyDescent="0.2">
      <c r="A33" s="2" t="s">
        <v>41</v>
      </c>
      <c r="B33" s="3" t="s">
        <v>42</v>
      </c>
      <c r="C33" s="2">
        <v>53257.544800000003</v>
      </c>
      <c r="D33" s="2">
        <v>4.0000000000000002E-4</v>
      </c>
      <c r="E33">
        <f t="shared" si="0"/>
        <v>1002.9923251799376</v>
      </c>
      <c r="F33">
        <f t="shared" si="1"/>
        <v>1003</v>
      </c>
      <c r="G33">
        <f t="shared" si="2"/>
        <v>-2.9306038777576759E-3</v>
      </c>
      <c r="J33">
        <f t="shared" si="6"/>
        <v>-2.9306038777576759E-3</v>
      </c>
      <c r="O33">
        <f t="shared" ca="1" si="4"/>
        <v>-4.2252915586126335E-3</v>
      </c>
      <c r="Q33" s="1">
        <f t="shared" si="5"/>
        <v>38239.044800000003</v>
      </c>
    </row>
    <row r="34" spans="1:17" x14ac:dyDescent="0.2">
      <c r="A34" s="2" t="s">
        <v>41</v>
      </c>
      <c r="B34" s="3" t="s">
        <v>42</v>
      </c>
      <c r="C34" s="2">
        <v>53282.366300000002</v>
      </c>
      <c r="D34" s="2">
        <v>3.8E-3</v>
      </c>
      <c r="E34">
        <f t="shared" si="0"/>
        <v>1067.9961790730806</v>
      </c>
      <c r="F34">
        <f t="shared" si="1"/>
        <v>1068</v>
      </c>
      <c r="G34">
        <f t="shared" si="2"/>
        <v>-1.4590079154004343E-3</v>
      </c>
      <c r="J34">
        <f t="shared" si="6"/>
        <v>-1.4590079154004343E-3</v>
      </c>
      <c r="O34">
        <f t="shared" ca="1" si="4"/>
        <v>-4.4985694342075475E-3</v>
      </c>
      <c r="Q34" s="1">
        <f t="shared" si="5"/>
        <v>38263.866300000002</v>
      </c>
    </row>
    <row r="35" spans="1:17" x14ac:dyDescent="0.2">
      <c r="A35" s="2" t="s">
        <v>41</v>
      </c>
      <c r="B35" s="3" t="s">
        <v>42</v>
      </c>
      <c r="C35" s="2">
        <v>53282.556100000002</v>
      </c>
      <c r="D35" s="2">
        <v>2.0000000000000001E-4</v>
      </c>
      <c r="E35">
        <f t="shared" si="0"/>
        <v>1068.4932373277763</v>
      </c>
      <c r="F35">
        <f t="shared" si="1"/>
        <v>1068.5</v>
      </c>
      <c r="G35">
        <f t="shared" si="2"/>
        <v>-2.5823033356573433E-3</v>
      </c>
      <c r="J35">
        <f t="shared" si="6"/>
        <v>-2.5823033356573433E-3</v>
      </c>
      <c r="O35">
        <f t="shared" ca="1" si="4"/>
        <v>-4.5006715717121233E-3</v>
      </c>
      <c r="Q35" s="1">
        <f t="shared" si="5"/>
        <v>38264.056100000002</v>
      </c>
    </row>
    <row r="36" spans="1:17" x14ac:dyDescent="0.2">
      <c r="A36" s="2" t="s">
        <v>41</v>
      </c>
      <c r="B36" s="3" t="s">
        <v>42</v>
      </c>
      <c r="C36" s="2">
        <v>53284.462299999999</v>
      </c>
      <c r="D36" s="2">
        <v>1.1999999999999999E-3</v>
      </c>
      <c r="E36">
        <f t="shared" si="0"/>
        <v>1073.4852944673917</v>
      </c>
      <c r="F36">
        <f t="shared" si="1"/>
        <v>1073.5</v>
      </c>
      <c r="G36">
        <f t="shared" si="2"/>
        <v>-5.6152574907173403E-3</v>
      </c>
      <c r="J36">
        <f t="shared" si="6"/>
        <v>-5.6152574907173403E-3</v>
      </c>
      <c r="O36">
        <f t="shared" ca="1" si="4"/>
        <v>-4.5216929467578864E-3</v>
      </c>
      <c r="Q36" s="1">
        <f t="shared" si="5"/>
        <v>38265.962299999999</v>
      </c>
    </row>
    <row r="37" spans="1:17" x14ac:dyDescent="0.2">
      <c r="A37" s="2" t="s">
        <v>41</v>
      </c>
      <c r="B37" s="3" t="s">
        <v>42</v>
      </c>
      <c r="C37" s="2">
        <v>53601.391100000001</v>
      </c>
      <c r="D37" s="2">
        <v>8.9999999999999998E-4</v>
      </c>
      <c r="E37">
        <f t="shared" si="0"/>
        <v>1903.4751584857136</v>
      </c>
      <c r="F37">
        <f t="shared" si="1"/>
        <v>1903.5</v>
      </c>
      <c r="G37">
        <f t="shared" si="2"/>
        <v>-9.4856475407141261E-3</v>
      </c>
      <c r="J37">
        <f t="shared" si="6"/>
        <v>-9.4856475407141261E-3</v>
      </c>
      <c r="O37">
        <f t="shared" ca="1" si="4"/>
        <v>-8.0112412043544783E-3</v>
      </c>
      <c r="Q37" s="1">
        <f t="shared" si="5"/>
        <v>38582.891100000001</v>
      </c>
    </row>
    <row r="38" spans="1:17" x14ac:dyDescent="0.2">
      <c r="A38" s="2" t="s">
        <v>41</v>
      </c>
      <c r="B38" s="3" t="s">
        <v>42</v>
      </c>
      <c r="C38" s="2">
        <v>53601.5844</v>
      </c>
      <c r="D38" s="2">
        <v>1E-4</v>
      </c>
      <c r="E38">
        <f t="shared" si="0"/>
        <v>1903.9813827250819</v>
      </c>
      <c r="F38">
        <f t="shared" si="1"/>
        <v>1904</v>
      </c>
      <c r="G38">
        <f t="shared" si="2"/>
        <v>-7.108942954801023E-3</v>
      </c>
      <c r="J38">
        <f t="shared" si="6"/>
        <v>-7.108942954801023E-3</v>
      </c>
      <c r="O38">
        <f t="shared" ca="1" si="4"/>
        <v>-8.0133433418590558E-3</v>
      </c>
      <c r="Q38" s="1">
        <f t="shared" si="5"/>
        <v>38583.0844</v>
      </c>
    </row>
    <row r="39" spans="1:17" x14ac:dyDescent="0.2">
      <c r="A39" s="2" t="s">
        <v>41</v>
      </c>
      <c r="B39" s="3" t="s">
        <v>42</v>
      </c>
      <c r="C39" s="2">
        <v>53613.419199999997</v>
      </c>
      <c r="D39" s="2">
        <v>6.9999999999999999E-4</v>
      </c>
      <c r="E39">
        <f t="shared" si="0"/>
        <v>1934.9749814219545</v>
      </c>
      <c r="F39">
        <f t="shared" si="1"/>
        <v>1935</v>
      </c>
      <c r="G39">
        <f t="shared" si="2"/>
        <v>-9.5532587365596555E-3</v>
      </c>
      <c r="J39">
        <f t="shared" si="6"/>
        <v>-9.5532587365596555E-3</v>
      </c>
      <c r="O39">
        <f t="shared" ca="1" si="4"/>
        <v>-8.1436758671427825E-3</v>
      </c>
      <c r="Q39" s="1">
        <f t="shared" si="5"/>
        <v>38594.919199999997</v>
      </c>
    </row>
    <row r="40" spans="1:17" x14ac:dyDescent="0.2">
      <c r="A40" s="2" t="s">
        <v>41</v>
      </c>
      <c r="B40" s="3" t="s">
        <v>42</v>
      </c>
      <c r="C40" s="2">
        <v>53613.610200000003</v>
      </c>
      <c r="D40" s="2">
        <v>1E-4</v>
      </c>
      <c r="E40">
        <f t="shared" si="0"/>
        <v>1935.4751822999833</v>
      </c>
      <c r="F40">
        <f t="shared" si="1"/>
        <v>1935.5</v>
      </c>
      <c r="G40">
        <f t="shared" si="2"/>
        <v>-9.4765541434753686E-3</v>
      </c>
      <c r="J40">
        <f t="shared" si="6"/>
        <v>-9.4765541434753686E-3</v>
      </c>
      <c r="O40">
        <f t="shared" ca="1" si="4"/>
        <v>-8.14577800464736E-3</v>
      </c>
      <c r="Q40" s="1">
        <f t="shared" si="5"/>
        <v>38595.110200000003</v>
      </c>
    </row>
    <row r="41" spans="1:17" x14ac:dyDescent="0.2">
      <c r="A41" s="2" t="s">
        <v>41</v>
      </c>
      <c r="B41" s="3" t="s">
        <v>42</v>
      </c>
      <c r="C41" s="2">
        <v>53636.521699999998</v>
      </c>
      <c r="D41" s="2">
        <v>6.9999999999999999E-4</v>
      </c>
      <c r="E41">
        <f t="shared" si="0"/>
        <v>1995.4770274129908</v>
      </c>
      <c r="F41">
        <f t="shared" si="1"/>
        <v>1995.5</v>
      </c>
      <c r="G41">
        <f t="shared" si="2"/>
        <v>-8.7720040319254622E-3</v>
      </c>
      <c r="J41">
        <f t="shared" si="6"/>
        <v>-8.7720040319254622E-3</v>
      </c>
      <c r="O41">
        <f t="shared" ca="1" si="4"/>
        <v>-8.39803450519651E-3</v>
      </c>
      <c r="Q41" s="1">
        <f t="shared" si="5"/>
        <v>38618.021699999998</v>
      </c>
    </row>
    <row r="42" spans="1:17" x14ac:dyDescent="0.2">
      <c r="A42" s="2" t="s">
        <v>41</v>
      </c>
      <c r="B42" s="3" t="s">
        <v>42</v>
      </c>
      <c r="C42" s="2">
        <v>53651.412400000001</v>
      </c>
      <c r="D42" s="2">
        <v>1.1000000000000001E-3</v>
      </c>
      <c r="E42">
        <f t="shared" si="0"/>
        <v>2034.4735782728069</v>
      </c>
      <c r="F42">
        <f t="shared" si="1"/>
        <v>2034.5</v>
      </c>
      <c r="G42">
        <f t="shared" si="2"/>
        <v>-1.0089046452776529E-2</v>
      </c>
      <c r="J42">
        <f t="shared" si="6"/>
        <v>-1.0089046452776529E-2</v>
      </c>
      <c r="O42">
        <f t="shared" ca="1" si="4"/>
        <v>-8.5620012305534596E-3</v>
      </c>
      <c r="Q42" s="1">
        <f t="shared" si="5"/>
        <v>38632.912400000001</v>
      </c>
    </row>
    <row r="43" spans="1:17" x14ac:dyDescent="0.2">
      <c r="A43" s="4" t="s">
        <v>43</v>
      </c>
      <c r="B43" s="4"/>
      <c r="C43" s="5">
        <v>55481.394399999997</v>
      </c>
      <c r="D43" s="5">
        <v>4.4000000000000003E-3</v>
      </c>
      <c r="E43">
        <f>+(C43-C$7)/C$8</f>
        <v>6826.9269978925022</v>
      </c>
      <c r="F43">
        <f t="shared" si="1"/>
        <v>6827</v>
      </c>
      <c r="G43">
        <f>+C43-(C$7+F43*C$8)</f>
        <v>-2.7875605868757702E-2</v>
      </c>
      <c r="J43">
        <f t="shared" si="6"/>
        <v>-2.7875605868757702E-2</v>
      </c>
      <c r="O43">
        <f ca="1">+C$11+C$12*$F43</f>
        <v>-2.8710989211916914E-2</v>
      </c>
      <c r="Q43" s="1">
        <f>+C43-15018.5</f>
        <v>40462.894399999997</v>
      </c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2024-07-28T06:05:58Z</dcterms:modified>
</cp:coreProperties>
</file>