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EC4E2FA-936C-4592-B410-3622AA702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G11" i="1"/>
  <c r="F11" i="1"/>
  <c r="F14" i="1"/>
  <c r="F15" i="1" s="1"/>
  <c r="E21" i="1" l="1"/>
  <c r="F21" i="1" s="1"/>
  <c r="G21" i="1" s="1"/>
  <c r="C17" i="1"/>
  <c r="Q21" i="1"/>
  <c r="C12" i="1"/>
  <c r="C11" i="1"/>
  <c r="O22" i="1" l="1"/>
  <c r="O30" i="1"/>
  <c r="O29" i="1"/>
  <c r="O28" i="1"/>
  <c r="O31" i="1"/>
  <c r="O25" i="1"/>
  <c r="O24" i="1"/>
  <c r="O23" i="1"/>
  <c r="O27" i="1"/>
  <c r="O26" i="1"/>
  <c r="C16" i="1"/>
  <c r="D18" i="1" s="1"/>
  <c r="C15" i="1"/>
  <c r="O21" i="1"/>
  <c r="I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<sst xmlns="http://schemas.openxmlformats.org/spreadsheetml/2006/main" count="75" uniqueCount="56">
  <si>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</si>
  <si>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</si>
  <si>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</si>
  <si>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</si>
  <si>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</si>
  <si>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</si>
  <si>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</si>
  <si>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</si>
  <si>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</si>
  <si>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</si>
  <si>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</si>
  <si>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</si>
  <si>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</si>
  <si>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</si>
  <si>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</si>
  <si>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</si>
  <si>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</si>
  <si>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</si>
  <si>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</si>
  <si>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</si>
  <si>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</si>
  <si>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</si>
  <si>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</si>
  <si>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</si>
  <si>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</si>
  <si>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</si>
  <si>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</si>
  <si>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</si>
  <si>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</si>
  <si>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</si>
  <si>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</si>
  <si>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</si>
  <si>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</si>
  <si>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</si>
  <si>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</si>
  <si>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</si>
  <si>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</si>
  <si>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</si>
  <si>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</si>
  <si>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</si>
  <si>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</si>
  <si>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</si>
  <si>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</si>
  <si>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EW</t>
  </si>
  <si>
    <t>VSX</t>
  </si>
  <si>
    <t>V0585 Vul</t>
  </si>
  <si>
    <t>JBAV, 76</t>
  </si>
  <si>
    <t>I</t>
  </si>
  <si>
    <t>II</t>
  </si>
  <si>
    <t>Next ToM-P</t>
  </si>
  <si>
    <t>Next ToM-S</t>
  </si>
  <si>
    <t xml:space="preserve">Mag r </t>
  </si>
  <si>
    <t>15.577 (0.478)</t>
  </si>
  <si>
    <t>BAV 91 Feb 2024</t>
  </si>
  <si>
    <t>VSX 1</t>
  </si>
  <si>
    <t>VSX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</si>
</sst>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6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  <xf numFmtId="0" fontId="19" fillId="0" borderId="0" xfId="8" applyNumberFormat="1" applyFont="1" applyBorder="1" applyAlignment="1">
      <alignment vertical="center" wrapText="1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V0585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1.6647999946144409E-3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-2.938700003142003E-3</c:v>
                </c:pt>
                <c:pt idx="3">
                  <c:v>-1.1119000046164729E-3</c:v>
                </c:pt>
                <c:pt idx="4">
                  <c:v>-1.6255000009550713E-3</c:v>
                </c:pt>
                <c:pt idx="5">
                  <c:v>-6.8430000828811899E-4</c:v>
                </c:pt>
                <c:pt idx="6">
                  <c:v>-2.1575000064331107E-3</c:v>
                </c:pt>
                <c:pt idx="7">
                  <c:v>2.0866999911959283E-3</c:v>
                </c:pt>
                <c:pt idx="8">
                  <c:v>-4.4851999991806224E-3</c:v>
                </c:pt>
                <c:pt idx="9">
                  <c:v>-5.7480000396026298E-4</c:v>
                </c:pt>
                <c:pt idx="10">
                  <c:v>-4.0549000041210093E-3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8.9898046488398489E-4</c:v>
                </c:pt>
                <c:pt idx="1">
                  <c:v>8.1726575176196948E-4</c:v>
                </c:pt>
                <c:pt idx="2">
                  <c:v>-1.0895207193553822E-3</c:v>
                </c:pt>
                <c:pt idx="3">
                  <c:v>-1.1330140344041968E-3</c:v>
                </c:pt>
                <c:pt idx="4">
                  <c:v>-1.5732191018679573E-3</c:v>
                </c:pt>
                <c:pt idx="5">
                  <c:v>-1.6351641263314205E-3</c:v>
                </c:pt>
                <c:pt idx="6">
                  <c:v>-1.6786574413802352E-3</c:v>
                </c:pt>
                <c:pt idx="7">
                  <c:v>-1.7307176215144227E-3</c:v>
                </c:pt>
                <c:pt idx="8">
                  <c:v>-2.2312202393867673E-3</c:v>
                </c:pt>
                <c:pt idx="9">
                  <c:v>-2.2628517412404507E-3</c:v>
                </c:pt>
                <c:pt idx="10">
                  <c:v>-2.2631812360514262E-3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-124</c:v>
                </c:pt>
                <c:pt idx="1">
                  <c:v>0</c:v>
                </c:pt>
                <c:pt idx="2">
                  <c:v>2893.5</c:v>
                </c:pt>
                <c:pt idx="3">
                  <c:v>2959.5</c:v>
                </c:pt>
                <c:pt idx="4">
                  <c:v>3627.5</c:v>
                </c:pt>
                <c:pt idx="5">
                  <c:v>3721.5</c:v>
                </c:pt>
                <c:pt idx="6">
                  <c:v>3787.5</c:v>
                </c:pt>
                <c:pt idx="7">
                  <c:v>3866.5</c:v>
                </c:pt>
                <c:pt idx="8">
                  <c:v>4626</c:v>
                </c:pt>
                <c:pt idx="9">
                  <c:v>4674</c:v>
                </c:pt>
                <c:pt idx="10">
                  <c:v>4674.5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68922305764409E-2"/>
              <c:y val="0.3712580187295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28515625" customWidth="1"/>
    <col min="2" max="2" width="4.85546875" customWidth="1"/>
    <col min="3" max="3" width="14.140625" customWidth="1"/>
    <col min="4" max="4" width="9.42578125" customWidth="1"/>
    <col min="5" max="5" width="13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1" customFormat="1" ht="20.25" x14ac:dyDescent="0.2">
      <c r="A1" s="40" t="s">
        <v>45</v>
      </c>
      <c r="F1" s="8" t="s">
        <v>42</v>
      </c>
      <c r="G1" s="4"/>
      <c r="H1" s="2"/>
      <c r="I1" s="9"/>
      <c r="J1" s="10" t="s">
        <v>40</v>
      </c>
      <c r="K1" s="3"/>
      <c r="L1" s="5"/>
      <c r="M1" s="6"/>
      <c r="N1" s="6"/>
      <c r="O1" s="7"/>
    </row>
    <row r="2" spans="1:15" s="11" customFormat="1" ht="12.95" customHeight="1" x14ac:dyDescent="0.2">
      <c r="A2" s="11" t="s">
        <v>23</v>
      </c>
      <c r="B2" s="12" t="s">
        <v>43</v>
      </c>
      <c r="C2" s="13"/>
    </row>
    <row r="3" spans="1:15" s="11" customFormat="1" ht="12.95" customHeight="1" x14ac:dyDescent="0.2"/>
    <row r="4" spans="1:15" s="11" customFormat="1" ht="12.95" customHeight="1" x14ac:dyDescent="0.2">
      <c r="A4" s="15" t="s">
        <v>0</v>
      </c>
      <c r="C4" s="14" t="s">
        <v>36</v>
      </c>
      <c r="D4" s="14" t="s">
        <v>36</v>
      </c>
    </row>
    <row r="5" spans="1:15" s="11" customFormat="1" ht="12.95" customHeight="1" x14ac:dyDescent="0.2">
      <c r="A5" s="16" t="s">
        <v>28</v>
      </c>
      <c r="C5" s="17">
        <v>-9.5</v>
      </c>
      <c r="D5" s="11" t="s">
        <v>29</v>
      </c>
    </row>
    <row r="6" spans="1:15" s="11" customFormat="1" ht="12.95" customHeight="1" x14ac:dyDescent="0.2">
      <c r="A6" s="15" t="s">
        <v>1</v>
      </c>
      <c r="E6" s="53" t="s">
        <v>54</v>
      </c>
    </row>
    <row r="7" spans="1:15" s="11" customFormat="1" ht="12.95" customHeight="1" x14ac:dyDescent="0.2">
      <c r="A7" s="11" t="s">
        <v>2</v>
      </c>
      <c r="C7" s="36">
        <v>58336.566400000003</v>
      </c>
      <c r="D7" s="19" t="s">
        <v>55</v>
      </c>
      <c r="E7" s="54">
        <v>58287.890599999999</v>
      </c>
    </row>
    <row r="8" spans="1:15" s="11" customFormat="1" ht="12.95" customHeight="1" x14ac:dyDescent="0.2">
      <c r="A8" s="11" t="s">
        <v>3</v>
      </c>
      <c r="C8" s="36">
        <v>0.39256020000000003</v>
      </c>
      <c r="D8" s="19" t="s">
        <v>55</v>
      </c>
      <c r="E8" s="55">
        <v>0.39255699999999999</v>
      </c>
    </row>
    <row r="9" spans="1:15" s="11" customFormat="1" ht="12.95" customHeight="1" x14ac:dyDescent="0.2">
      <c r="A9" s="20" t="s">
        <v>31</v>
      </c>
      <c r="B9" s="21">
        <v>21</v>
      </c>
      <c r="C9" s="22"/>
      <c r="D9" s="23"/>
    </row>
    <row r="10" spans="1:15" s="11" customFormat="1" ht="12.95" customHeight="1" thickBot="1" x14ac:dyDescent="0.25">
      <c r="C10" s="24" t="s">
        <v>19</v>
      </c>
      <c r="D10" s="24" t="s">
        <v>20</v>
      </c>
    </row>
    <row r="11" spans="1:15" s="11" customFormat="1" ht="12.95" customHeight="1" x14ac:dyDescent="0.2">
      <c r="A11" s="11" t="s">
        <v>15</v>
      </c>
      <c r="C11" s="23">
        <f ca="1">INTERCEPT(INDIRECT($G$11):G992,INDIRECT($F$11):F992)</f>
        <v>8.1726575176196948E-4</v>
      </c>
      <c r="D11" s="14"/>
      <c r="F11" s="11" t="str">
        <f>"F"&amp;B9</f>
        <v>F21</v>
      </c>
      <c r="G11" s="11" t="str">
        <f>"G"&amp;B9</f>
        <v>G21</v>
      </c>
    </row>
    <row r="12" spans="1:15" s="11" customFormat="1" ht="12.95" customHeight="1" x14ac:dyDescent="0.2">
      <c r="A12" s="11" t="s">
        <v>16</v>
      </c>
      <c r="C12" s="23">
        <f ca="1">SLOPE(INDIRECT($G$11):G992,INDIRECT($F$11):F992)</f>
        <v>-6.5898962195173723E-7</v>
      </c>
      <c r="D12" s="14"/>
      <c r="E12" s="42" t="s">
        <v>51</v>
      </c>
      <c r="F12" s="43" t="s">
        <v>52</v>
      </c>
    </row>
    <row r="13" spans="1:15" s="11" customFormat="1" ht="12.95" customHeight="1" x14ac:dyDescent="0.2">
      <c r="A13" s="11" t="s">
        <v>18</v>
      </c>
      <c r="C13" s="14" t="s">
        <v>13</v>
      </c>
      <c r="E13" s="44" t="s">
        <v>33</v>
      </c>
      <c r="F13" s="45">
        <v>1</v>
      </c>
    </row>
    <row r="14" spans="1:15" s="11" customFormat="1" ht="12.95" customHeight="1" x14ac:dyDescent="0.2">
      <c r="E14" s="44" t="s">
        <v>30</v>
      </c>
      <c r="F14" s="46">
        <f ca="1">NOW()+15018.5+$C$5/24</f>
        <v>60547.850947453699</v>
      </c>
    </row>
    <row r="15" spans="1:15" s="11" customFormat="1" ht="12.95" customHeight="1" x14ac:dyDescent="0.2">
      <c r="A15" s="26" t="s">
        <v>17</v>
      </c>
      <c r="C15" s="27">
        <f ca="1">(C7+C11)+(C8+C12)*INT(MAX(F21:F3533))</f>
        <v>60171.390511948266</v>
      </c>
      <c r="E15" s="44" t="s">
        <v>34</v>
      </c>
      <c r="F15" s="46">
        <f ca="1">ROUND(2*(F14-$C$7)/$C$8,0)/2+F13</f>
        <v>5634</v>
      </c>
    </row>
    <row r="16" spans="1:15" s="11" customFormat="1" ht="12.95" customHeight="1" x14ac:dyDescent="0.2">
      <c r="A16" s="15" t="s">
        <v>4</v>
      </c>
      <c r="C16" s="28">
        <f ca="1">+C8+C12</f>
        <v>0.3925595410103781</v>
      </c>
      <c r="E16" s="44" t="s">
        <v>35</v>
      </c>
      <c r="F16" s="47">
        <f ca="1">ROUND(2*(F14-$C$15)/$C$16,0)/2+F13</f>
        <v>960</v>
      </c>
    </row>
    <row r="17" spans="1:21" s="11" customFormat="1" ht="12.95" customHeight="1" thickBot="1" x14ac:dyDescent="0.25">
      <c r="A17" s="25" t="s">
        <v>27</v>
      </c>
      <c r="C17" s="11">
        <f>COUNT(C21:C2191)</f>
        <v>11</v>
      </c>
      <c r="E17" s="44" t="s">
        <v>49</v>
      </c>
      <c r="F17" s="48">
        <f ca="1">+$C$15+$C$16*$F$16-15018.5-$C$5/24</f>
        <v>45530.143504651562</v>
      </c>
    </row>
    <row r="18" spans="1:21" s="11" customFormat="1" ht="12.95" customHeight="1" thickTop="1" thickBot="1" x14ac:dyDescent="0.25">
      <c r="A18" s="15" t="s">
        <v>5</v>
      </c>
      <c r="C18" s="29">
        <f ca="1">+C15</f>
        <v>60171.390511948266</v>
      </c>
      <c r="D18" s="30">
        <f ca="1">+C16</f>
        <v>0.3925595410103781</v>
      </c>
      <c r="E18" s="50" t="s">
        <v>50</v>
      </c>
      <c r="F18" s="49">
        <f ca="1">+($C$15+$C$16*$F$16)-($C$16/2)-15018.5-$C$5/24</f>
        <v>45529.947224881056</v>
      </c>
    </row>
    <row r="19" spans="1:21" s="11" customFormat="1" ht="12.95" customHeight="1" thickTop="1" x14ac:dyDescent="0.2">
      <c r="F19" s="36" t="s">
        <v>41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1" t="s">
        <v>37</v>
      </c>
      <c r="I20" s="31" t="s">
        <v>44</v>
      </c>
      <c r="J20" s="31" t="s">
        <v>38</v>
      </c>
      <c r="K20" s="31" t="s">
        <v>39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4" t="s">
        <v>14</v>
      </c>
      <c r="U20" s="33" t="s">
        <v>32</v>
      </c>
    </row>
    <row r="21" spans="1:21" s="11" customFormat="1" ht="12.95" customHeight="1" x14ac:dyDescent="0.2">
      <c r="A21" s="12" t="s">
        <v>54</v>
      </c>
      <c r="C21" s="18">
        <v>58287.890599999999</v>
      </c>
      <c r="D21" s="18" t="s">
        <v>13</v>
      </c>
      <c r="E21" s="11">
        <f>+(C21-C$7)/C$8</f>
        <v>-123.99575912179718</v>
      </c>
      <c r="F21" s="11">
        <f>ROUND(2*E21,0)/2</f>
        <v>-124</v>
      </c>
      <c r="G21" s="11">
        <f>+C21-(C$7+F21*C$8)</f>
        <v>1.6647999946144409E-3</v>
      </c>
      <c r="I21" s="11">
        <f>+G21</f>
        <v>1.6647999946144409E-3</v>
      </c>
      <c r="O21" s="11">
        <f ca="1">+C$11+C$12*$F21</f>
        <v>8.9898046488398489E-4</v>
      </c>
      <c r="Q21" s="34">
        <f>+C21-15018.5</f>
        <v>43269.390599999999</v>
      </c>
    </row>
    <row r="22" spans="1:21" s="11" customFormat="1" ht="12.95" customHeight="1" x14ac:dyDescent="0.2">
      <c r="A22" s="12" t="s">
        <v>55</v>
      </c>
      <c r="C22" s="18">
        <v>58336.566400000003</v>
      </c>
      <c r="D22" s="39"/>
      <c r="E22" s="11">
        <f>+(C22-C$7)/C$8</f>
        <v>0</v>
      </c>
      <c r="F22" s="11">
        <f>ROUND(2*E22,0)/2</f>
        <v>0</v>
      </c>
      <c r="G22" s="11">
        <f>+C22-(C$7+F22*C$8)</f>
        <v>0</v>
      </c>
      <c r="I22" s="11">
        <f>+G22</f>
        <v>0</v>
      </c>
      <c r="O22" s="11">
        <f ca="1">+C$11+C$12*$F22</f>
        <v>8.1726575176196948E-4</v>
      </c>
      <c r="Q22" s="34">
        <f>+C22-15018.5</f>
        <v>43318.066400000003</v>
      </c>
    </row>
    <row r="23" spans="1:21" s="11" customFormat="1" ht="12.95" customHeight="1" x14ac:dyDescent="0.2">
      <c r="A23" s="41" t="s">
        <v>46</v>
      </c>
      <c r="B23" s="35" t="s">
        <v>47</v>
      </c>
      <c r="C23" s="37">
        <v>59472.436399999999</v>
      </c>
      <c r="D23" s="38">
        <v>4.1999999999999997E-3</v>
      </c>
      <c r="E23" s="11">
        <f>+(C23-C$7)/C$8</f>
        <v>2893.4925140143991</v>
      </c>
      <c r="F23" s="11">
        <f>ROUND(2*E23,0)/2</f>
        <v>2893.5</v>
      </c>
      <c r="G23" s="11">
        <f>+C23-(C$7+F23*C$8)</f>
        <v>-2.938700003142003E-3</v>
      </c>
      <c r="K23" s="11">
        <f>+G23</f>
        <v>-2.938700003142003E-3</v>
      </c>
      <c r="O23" s="11">
        <f ca="1">+C$11+C$12*$F23</f>
        <v>-1.0895207193553822E-3</v>
      </c>
      <c r="Q23" s="34">
        <f>+C23-15018.5</f>
        <v>44453.936399999999</v>
      </c>
    </row>
    <row r="24" spans="1:21" s="11" customFormat="1" ht="12.95" customHeight="1" x14ac:dyDescent="0.2">
      <c r="A24" s="41" t="s">
        <v>46</v>
      </c>
      <c r="B24" s="35" t="s">
        <v>48</v>
      </c>
      <c r="C24" s="37">
        <v>59498.347199999997</v>
      </c>
      <c r="D24" s="38">
        <v>4.1999999999999997E-3</v>
      </c>
      <c r="E24" s="11">
        <f>+(C24-C$7)/C$8</f>
        <v>2959.4971675681668</v>
      </c>
      <c r="F24" s="11">
        <f>ROUND(2*E24,0)/2</f>
        <v>2959.5</v>
      </c>
      <c r="G24" s="11">
        <f>+C24-(C$7+F24*C$8)</f>
        <v>-1.1119000046164729E-3</v>
      </c>
      <c r="K24" s="11">
        <f>+G24</f>
        <v>-1.1119000046164729E-3</v>
      </c>
      <c r="O24" s="11">
        <f ca="1">+C$11+C$12*$F24</f>
        <v>-1.1330140344041968E-3</v>
      </c>
      <c r="Q24" s="34">
        <f>+C24-15018.5</f>
        <v>44479.847199999997</v>
      </c>
    </row>
    <row r="25" spans="1:21" s="11" customFormat="1" ht="12.95" customHeight="1" x14ac:dyDescent="0.2">
      <c r="A25" s="41" t="s">
        <v>46</v>
      </c>
      <c r="B25" s="35" t="s">
        <v>47</v>
      </c>
      <c r="C25" s="37">
        <v>59760.5769</v>
      </c>
      <c r="D25" s="38">
        <v>4.1999999999999997E-3</v>
      </c>
      <c r="E25" s="11">
        <f>+(C25-C$7)/C$8</f>
        <v>3627.4958592338107</v>
      </c>
      <c r="F25" s="11">
        <f>ROUND(2*E25,0)/2</f>
        <v>3627.5</v>
      </c>
      <c r="G25" s="11">
        <f>+C25-(C$7+F25*C$8)</f>
        <v>-1.6255000009550713E-3</v>
      </c>
      <c r="K25" s="11">
        <f>+G25</f>
        <v>-1.6255000009550713E-3</v>
      </c>
      <c r="O25" s="11">
        <f ca="1">+C$11+C$12*$F25</f>
        <v>-1.5732191018679573E-3</v>
      </c>
      <c r="Q25" s="34">
        <f>+C25-15018.5</f>
        <v>44742.0769</v>
      </c>
    </row>
    <row r="26" spans="1:21" s="11" customFormat="1" ht="12.95" customHeight="1" x14ac:dyDescent="0.2">
      <c r="A26" s="41" t="s">
        <v>46</v>
      </c>
      <c r="B26" s="35" t="s">
        <v>47</v>
      </c>
      <c r="C26" s="37">
        <v>59797.478499999997</v>
      </c>
      <c r="D26" s="38">
        <v>4.1999999999999997E-3</v>
      </c>
      <c r="E26" s="11">
        <f>+(C26-C$7)/C$8</f>
        <v>3721.4982568278547</v>
      </c>
      <c r="F26" s="11">
        <f>ROUND(2*E26,0)/2</f>
        <v>3721.5</v>
      </c>
      <c r="G26" s="11">
        <f>+C26-(C$7+F26*C$8)</f>
        <v>-6.8430000828811899E-4</v>
      </c>
      <c r="K26" s="11">
        <f>+G26</f>
        <v>-6.8430000828811899E-4</v>
      </c>
      <c r="O26" s="11">
        <f ca="1">+C$11+C$12*$F26</f>
        <v>-1.6351641263314205E-3</v>
      </c>
      <c r="Q26" s="34">
        <f>+C26-15018.5</f>
        <v>44778.978499999997</v>
      </c>
    </row>
    <row r="27" spans="1:21" s="11" customFormat="1" ht="12.95" customHeight="1" x14ac:dyDescent="0.2">
      <c r="A27" s="41" t="s">
        <v>46</v>
      </c>
      <c r="B27" s="35" t="s">
        <v>47</v>
      </c>
      <c r="C27" s="37">
        <v>59823.385999999999</v>
      </c>
      <c r="D27" s="38">
        <v>4.1999999999999997E-3</v>
      </c>
      <c r="E27" s="11">
        <f>+(C27-C$7)/C$8</f>
        <v>3787.4945040276502</v>
      </c>
      <c r="F27" s="11">
        <f>ROUND(2*E27,0)/2</f>
        <v>3787.5</v>
      </c>
      <c r="G27" s="11">
        <f>+C27-(C$7+F27*C$8)</f>
        <v>-2.1575000064331107E-3</v>
      </c>
      <c r="K27" s="11">
        <f>+G27</f>
        <v>-2.1575000064331107E-3</v>
      </c>
      <c r="O27" s="11">
        <f ca="1">+C$11+C$12*$F27</f>
        <v>-1.6786574413802352E-3</v>
      </c>
      <c r="Q27" s="34">
        <f>+C27-15018.5</f>
        <v>44804.885999999999</v>
      </c>
    </row>
    <row r="28" spans="1:21" s="11" customFormat="1" ht="12.95" customHeight="1" x14ac:dyDescent="0.2">
      <c r="A28" s="51" t="s">
        <v>53</v>
      </c>
      <c r="B28" s="52" t="s">
        <v>47</v>
      </c>
      <c r="C28" s="51">
        <v>59854.402499999997</v>
      </c>
      <c r="D28" s="51">
        <v>4.1999999999999997E-3</v>
      </c>
      <c r="E28" s="11">
        <f>+(C28-C$7)/C$8</f>
        <v>3866.5053156178164</v>
      </c>
      <c r="F28" s="11">
        <f>ROUND(2*E28,0)/2</f>
        <v>3866.5</v>
      </c>
      <c r="G28" s="11">
        <f>+C28-(C$7+F28*C$8)</f>
        <v>2.0866999911959283E-3</v>
      </c>
      <c r="K28" s="11">
        <f>+G28</f>
        <v>2.0866999911959283E-3</v>
      </c>
      <c r="O28" s="11">
        <f ca="1">+C$11+C$12*$F28</f>
        <v>-1.7307176215144227E-3</v>
      </c>
      <c r="Q28" s="34">
        <f>+C28-15018.5</f>
        <v>44835.902499999997</v>
      </c>
    </row>
    <row r="29" spans="1:21" s="11" customFormat="1" ht="12.95" customHeight="1" x14ac:dyDescent="0.2">
      <c r="A29" s="51" t="s">
        <v>53</v>
      </c>
      <c r="B29" s="52" t="s">
        <v>47</v>
      </c>
      <c r="C29" s="51">
        <v>60152.545400000003</v>
      </c>
      <c r="D29" s="51">
        <v>4.1999999999999997E-3</v>
      </c>
      <c r="E29" s="11">
        <f>+(C29-C$7)/C$8</f>
        <v>4625.9885744912481</v>
      </c>
      <c r="F29" s="11">
        <f>ROUND(2*E29,0)/2</f>
        <v>4626</v>
      </c>
      <c r="G29" s="11">
        <f>+C29-(C$7+F29*C$8)</f>
        <v>-4.4851999991806224E-3</v>
      </c>
      <c r="K29" s="11">
        <f>+G29</f>
        <v>-4.4851999991806224E-3</v>
      </c>
      <c r="O29" s="11">
        <f ca="1">+C$11+C$12*$F29</f>
        <v>-2.2312202393867673E-3</v>
      </c>
      <c r="Q29" s="34">
        <f>+C29-15018.5</f>
        <v>45134.045400000003</v>
      </c>
    </row>
    <row r="30" spans="1:21" s="11" customFormat="1" ht="12.95" customHeight="1" x14ac:dyDescent="0.2">
      <c r="A30" s="51" t="s">
        <v>53</v>
      </c>
      <c r="B30" s="52" t="s">
        <v>47</v>
      </c>
      <c r="C30" s="51">
        <v>60171.392200000002</v>
      </c>
      <c r="D30" s="51">
        <v>4.1999999999999997E-3</v>
      </c>
      <c r="E30" s="11">
        <f>+(C30-C$7)/C$8</f>
        <v>4673.9985357659762</v>
      </c>
      <c r="F30" s="11">
        <f>ROUND(2*E30,0)/2</f>
        <v>4674</v>
      </c>
      <c r="G30" s="11">
        <f>+C30-(C$7+F30*C$8)</f>
        <v>-5.7480000396026298E-4</v>
      </c>
      <c r="K30" s="11">
        <f>+G30</f>
        <v>-5.7480000396026298E-4</v>
      </c>
      <c r="O30" s="11">
        <f ca="1">+C$11+C$12*$F30</f>
        <v>-2.2628517412404507E-3</v>
      </c>
      <c r="Q30" s="34">
        <f>+C30-15018.5</f>
        <v>45152.892200000002</v>
      </c>
    </row>
    <row r="31" spans="1:21" s="11" customFormat="1" ht="12.95" customHeight="1" x14ac:dyDescent="0.2">
      <c r="A31" s="51" t="s">
        <v>53</v>
      </c>
      <c r="B31" s="52" t="s">
        <v>47</v>
      </c>
      <c r="C31" s="51">
        <v>60171.584999999999</v>
      </c>
      <c r="D31" s="51">
        <v>4.1999999999999997E-3</v>
      </c>
      <c r="E31" s="11">
        <f>+(C31-C$7)/C$8</f>
        <v>4674.48967062885</v>
      </c>
      <c r="F31" s="11">
        <f>ROUND(2*E31,0)/2</f>
        <v>4674.5</v>
      </c>
      <c r="G31" s="11">
        <f>+C31-(C$7+F31*C$8)</f>
        <v>-4.0549000041210093E-3</v>
      </c>
      <c r="K31" s="11">
        <f>+G31</f>
        <v>-4.0549000041210093E-3</v>
      </c>
      <c r="O31" s="11">
        <f ca="1">+C$11+C$12*$F31</f>
        <v>-2.2631812360514262E-3</v>
      </c>
      <c r="Q31" s="34">
        <f>+C31-15018.5</f>
        <v>45153.084999999999</v>
      </c>
    </row>
    <row r="32" spans="1:21" s="11" customFormat="1" ht="12.95" customHeight="1" x14ac:dyDescent="0.2">
      <c r="C32" s="18"/>
      <c r="D32" s="39"/>
      <c r="Q32" s="34"/>
    </row>
    <row r="33" spans="3:17" s="11" customFormat="1" ht="12.95" customHeight="1" x14ac:dyDescent="0.2">
      <c r="C33" s="18"/>
      <c r="D33" s="18"/>
      <c r="Q33" s="34"/>
    </row>
    <row r="34" spans="3:17" s="11" customFormat="1" ht="12.95" customHeight="1" x14ac:dyDescent="0.2">
      <c r="C34" s="18"/>
      <c r="D34" s="18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X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2024-08-25T08:25:21Z</dcterms:modified>
</cp:coreProperties>
</file>