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A917C80-9D60-4541-B2D1-1B93A3104B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G11" i="1"/>
  <c r="F11" i="1"/>
  <c r="C21" i="1"/>
  <c r="A21" i="1"/>
  <c r="F14" i="1"/>
  <c r="F15" i="1" s="1"/>
  <c r="E21" i="1" l="1"/>
  <c r="F21" i="1" s="1"/>
  <c r="G21" i="1" s="1"/>
  <c r="C17" i="1"/>
  <c r="Q21" i="1"/>
  <c r="C12" i="1"/>
  <c r="C11" i="1"/>
  <c r="O22" i="1" l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<sst xmlns="http://schemas.openxmlformats.org/spreadsheetml/2006/main" count="55" uniqueCount="52">
  <si>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</si>
  <si>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</si>
  <si>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</si>
  <si>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</si>
  <si>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</si>
  <si>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</si>
  <si>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</si>
  <si>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</si>
  <si>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</si>
  <si>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</si>
  <si>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</si>
  <si>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</si>
  <si>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</si>
  <si>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</si>
  <si>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</si>
  <si>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</si>
  <si>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</si>
  <si>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</si>
  <si>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</si>
  <si>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</si>
  <si>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</si>
  <si>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</si>
  <si>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</si>
  <si>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</si>
  <si>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</si>
  <si>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</si>
  <si>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</si>
  <si>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</si>
  <si>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</si>
  <si>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</si>
  <si>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</si>
  <si>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</si>
  <si>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</si>
  <si>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</si>
  <si>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</si>
  <si>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</si>
  <si>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</si>
  <si>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</si>
  <si>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</si>
  <si>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</si>
  <si>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</si>
  <si>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</si>
  <si>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</si>
  <si>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</si>
  <si>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ZTF J203206.63+244343.7 Vul</t>
  </si>
  <si>
    <t>EW</t>
  </si>
  <si>
    <t>VSX</t>
  </si>
  <si>
    <t>JBAV, 76</t>
  </si>
  <si>
    <t>I</t>
  </si>
  <si>
    <t>Next ToM-P</t>
  </si>
  <si>
    <t>Next ToM-S</t>
  </si>
  <si>
    <t xml:space="preserve">Mag 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</si>
</sst>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"/>
    <numFmt numFmtId="167" formatCode="#,##0.00000_ ;\-#,##0.00000\ "/>
  </numFmts>
  <fonts count="2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3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7" fillId="0" borderId="0" applyFont="0" applyFill="0" applyBorder="0" applyAlignment="0" applyProtection="0"/>
  </cellStyleXfs>
  <cellXfs count="49">
    <xf numFmtId="0" fontId="0" fillId="0" borderId="0" xfId="0" applyAlignment="1"/>
    <xf numFmtId="0" fontId="0" fillId="0" borderId="0" xfId="0" applyAlignment="1">
      <alignment horizontal="left"/>
    </xf>
    <xf numFmtId="0" fontId="16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5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5" fillId="2" borderId="1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43" fontId="18" fillId="0" borderId="0" xfId="8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166" fontId="18" fillId="0" borderId="0" xfId="0" applyNumberFormat="1" applyFont="1" applyAlignment="1" applyProtection="1">
      <alignment horizontal="left" vertical="center" wrapText="1"/>
      <protection locked="0"/>
    </xf>
    <xf numFmtId="0" fontId="18" fillId="0" borderId="0" xfId="8" applyNumberFormat="1" applyFont="1" applyBorder="1" applyAlignment="1">
      <alignment vertical="center" wrapText="1"/>
    </xf>
    <xf numFmtId="167" fontId="18" fillId="0" borderId="0" xfId="8" applyNumberFormat="1" applyFont="1" applyBorder="1" applyAlignment="1">
      <alignment horizontal="left" vertical="center" wrapText="1"/>
    </xf>
    <xf numFmtId="0" fontId="5" fillId="5" borderId="6" xfId="0" applyFont="1" applyFill="1" applyBorder="1" applyAlignment="1">
      <alignment horizontal="right" vertical="center"/>
    </xf>
    <xf numFmtId="0" fontId="0" fillId="5" borderId="7" xfId="0" applyFill="1" applyBorder="1" applyAlignment="1">
      <alignment horizontal="center" vertical="center"/>
    </xf>
    <xf numFmtId="0" fontId="20" fillId="0" borderId="8" xfId="0" applyFont="1" applyBorder="1" applyAlignment="1">
      <alignment horizontal="right" vertical="center"/>
    </xf>
    <xf numFmtId="0" fontId="12" fillId="0" borderId="9" xfId="0" applyFont="1" applyBorder="1" applyAlignment="1">
      <alignment horizontal="right" vertical="center"/>
    </xf>
    <xf numFmtId="0" fontId="21" fillId="0" borderId="9" xfId="0" applyFont="1" applyBorder="1" applyAlignment="1">
      <alignment horizontal="right" vertical="center"/>
    </xf>
    <xf numFmtId="22" fontId="21" fillId="0" borderId="9" xfId="0" applyNumberFormat="1" applyFont="1" applyBorder="1" applyAlignment="1">
      <alignment horizontal="right" vertical="center"/>
    </xf>
    <xf numFmtId="22" fontId="21" fillId="0" borderId="10" xfId="0" applyNumberFormat="1" applyFont="1" applyBorder="1" applyAlignment="1">
      <alignment horizontal="right" vertical="center"/>
    </xf>
    <xf numFmtId="0" fontId="20" fillId="0" borderId="11" xfId="0" applyFont="1" applyBorder="1" applyAlignment="1">
      <alignment horizontal="right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ZTF J203206.63+244343.7 Vul</a:t>
            </a:r>
            <a:r>
              <a:rPr lang="en-AU" sz="1200" b="1" i="0" u="none" strike="noStrike" baseline="0"/>
              <a:t> 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25814536340852129"/>
          <c:y val="4.40089079774119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4110.5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4110.5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4110.5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4110.5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4.9841000000014901E-3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4110.5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4110.5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4110.5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4110.5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4.9841000000014901E-3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4110.5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0</xdr:row>
      <xdr:rowOff>0</xdr:rowOff>
    </xdr:from>
    <xdr:to>
      <xdr:col>17</xdr:col>
      <xdr:colOff>190500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7" sqref="F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1.8554687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s="11" customFormat="1" ht="21.75" customHeight="1" x14ac:dyDescent="0.2">
      <c r="A1" s="37" t="s">
        <v>44</v>
      </c>
      <c r="F1" s="8" t="s">
        <v>43</v>
      </c>
      <c r="G1" s="4"/>
      <c r="H1" s="2"/>
      <c r="I1" s="9"/>
      <c r="J1" s="10" t="s">
        <v>41</v>
      </c>
      <c r="K1" s="3"/>
      <c r="L1" s="5"/>
      <c r="M1" s="6"/>
      <c r="N1" s="6"/>
      <c r="O1" s="7"/>
    </row>
    <row r="2" spans="1:15" s="11" customFormat="1" ht="12.95" customHeight="1" x14ac:dyDescent="0.2">
      <c r="A2" s="11" t="s">
        <v>23</v>
      </c>
      <c r="B2" s="12" t="s">
        <v>45</v>
      </c>
      <c r="C2" s="13"/>
    </row>
    <row r="3" spans="1:15" s="11" customFormat="1" ht="12.95" customHeight="1" x14ac:dyDescent="0.2"/>
    <row r="4" spans="1:15" s="11" customFormat="1" ht="12.95" customHeight="1" x14ac:dyDescent="0.2">
      <c r="A4" s="15" t="s">
        <v>0</v>
      </c>
      <c r="C4" s="14" t="s">
        <v>36</v>
      </c>
      <c r="D4" s="14" t="s">
        <v>36</v>
      </c>
    </row>
    <row r="5" spans="1:15" s="11" customFormat="1" ht="12.95" customHeight="1" x14ac:dyDescent="0.2">
      <c r="A5" s="16" t="s">
        <v>28</v>
      </c>
      <c r="C5" s="17">
        <v>-9.5</v>
      </c>
      <c r="D5" s="11" t="s">
        <v>29</v>
      </c>
    </row>
    <row r="6" spans="1:15" s="11" customFormat="1" ht="12.95" customHeight="1" x14ac:dyDescent="0.2">
      <c r="A6" s="15" t="s">
        <v>1</v>
      </c>
    </row>
    <row r="7" spans="1:15" s="11" customFormat="1" ht="12.95" customHeight="1" x14ac:dyDescent="0.2">
      <c r="A7" s="11" t="s">
        <v>2</v>
      </c>
      <c r="C7" s="18">
        <v>58257.9202</v>
      </c>
      <c r="D7" s="19" t="s">
        <v>46</v>
      </c>
    </row>
    <row r="8" spans="1:15" s="11" customFormat="1" ht="12.95" customHeight="1" x14ac:dyDescent="0.2">
      <c r="A8" s="11" t="s">
        <v>3</v>
      </c>
      <c r="C8" s="18">
        <v>0.30175580000000002</v>
      </c>
      <c r="D8" s="19" t="s">
        <v>46</v>
      </c>
    </row>
    <row r="9" spans="1:15" s="11" customFormat="1" ht="12.95" customHeight="1" x14ac:dyDescent="0.2">
      <c r="A9" s="20" t="s">
        <v>31</v>
      </c>
      <c r="B9" s="21">
        <v>21</v>
      </c>
      <c r="C9" s="22"/>
      <c r="D9" s="23"/>
    </row>
    <row r="10" spans="1:15" s="11" customFormat="1" ht="12.95" customHeight="1" thickBot="1" x14ac:dyDescent="0.25">
      <c r="C10" s="24" t="s">
        <v>19</v>
      </c>
      <c r="D10" s="24" t="s">
        <v>20</v>
      </c>
    </row>
    <row r="11" spans="1:15" s="11" customFormat="1" ht="12.95" customHeight="1" x14ac:dyDescent="0.2">
      <c r="A11" s="11" t="s">
        <v>15</v>
      </c>
      <c r="C11" s="23">
        <f ca="1">INTERCEPT(INDIRECT($G$11):G992,INDIRECT($F$11):F992)</f>
        <v>0</v>
      </c>
      <c r="D11" s="14"/>
      <c r="F11" s="11" t="str">
        <f>"F"&amp;B9</f>
        <v>F21</v>
      </c>
      <c r="G11" s="11" t="str">
        <f>"G"&amp;B9</f>
        <v>G21</v>
      </c>
    </row>
    <row r="12" spans="1:15" s="11" customFormat="1" ht="12.95" customHeight="1" x14ac:dyDescent="0.2">
      <c r="A12" s="11" t="s">
        <v>16</v>
      </c>
      <c r="C12" s="23">
        <f ca="1">SLOPE(INDIRECT($G$11):G992,INDIRECT($F$11):F992)</f>
        <v>1.2125288894298723E-6</v>
      </c>
      <c r="D12" s="14"/>
      <c r="E12" s="41" t="s">
        <v>51</v>
      </c>
      <c r="F12" s="42">
        <v>14.333</v>
      </c>
    </row>
    <row r="13" spans="1:15" s="11" customFormat="1" ht="12.95" customHeight="1" x14ac:dyDescent="0.2">
      <c r="A13" s="11" t="s">
        <v>18</v>
      </c>
      <c r="C13" s="14" t="s">
        <v>13</v>
      </c>
      <c r="E13" s="43" t="s">
        <v>33</v>
      </c>
      <c r="F13" s="44">
        <v>1</v>
      </c>
    </row>
    <row r="14" spans="1:15" s="11" customFormat="1" ht="12.95" customHeight="1" x14ac:dyDescent="0.2">
      <c r="E14" s="43" t="s">
        <v>30</v>
      </c>
      <c r="F14" s="45">
        <f ca="1">NOW()+15018.5+$C$5/24</f>
        <v>60518.842819907404</v>
      </c>
    </row>
    <row r="15" spans="1:15" s="11" customFormat="1" ht="12.95" customHeight="1" x14ac:dyDescent="0.2">
      <c r="A15" s="26" t="s">
        <v>17</v>
      </c>
      <c r="C15" s="27">
        <f ca="1">(C7+C11)+(C8+C12)*INT(MAX(F21:F3533))</f>
        <v>59498.141521493737</v>
      </c>
      <c r="E15" s="43" t="s">
        <v>34</v>
      </c>
      <c r="F15" s="45">
        <f ca="1">ROUND(2*(F14-$C$7)/$C$8,0)/2+F13</f>
        <v>7493.5</v>
      </c>
    </row>
    <row r="16" spans="1:15" s="11" customFormat="1" ht="12.95" customHeight="1" x14ac:dyDescent="0.2">
      <c r="A16" s="15" t="s">
        <v>4</v>
      </c>
      <c r="C16" s="28">
        <f ca="1">+C8+C12</f>
        <v>0.30175701252888942</v>
      </c>
      <c r="E16" s="43" t="s">
        <v>35</v>
      </c>
      <c r="F16" s="45">
        <f ca="1">ROUND(2*(F14-$C$15)/$C$16,0)/2+F13</f>
        <v>3383.5</v>
      </c>
    </row>
    <row r="17" spans="1:21" s="11" customFormat="1" ht="12.95" customHeight="1" thickBot="1" x14ac:dyDescent="0.25">
      <c r="A17" s="25" t="s">
        <v>27</v>
      </c>
      <c r="C17" s="11">
        <f>COUNT(C21:C2191)</f>
        <v>2</v>
      </c>
      <c r="E17" s="43" t="s">
        <v>49</v>
      </c>
      <c r="F17" s="46">
        <f ca="1">+$C$15+$C$16*$F$16-15018.5-$C$5/24</f>
        <v>45501.03220671857</v>
      </c>
    </row>
    <row r="18" spans="1:21" s="11" customFormat="1" ht="12.95" customHeight="1" thickTop="1" thickBot="1" x14ac:dyDescent="0.25">
      <c r="A18" s="15" t="s">
        <v>5</v>
      </c>
      <c r="C18" s="29">
        <f ca="1">+C15</f>
        <v>59498.141521493737</v>
      </c>
      <c r="D18" s="30">
        <f ca="1">+C16</f>
        <v>0.30175701252888942</v>
      </c>
      <c r="E18" s="48" t="s">
        <v>50</v>
      </c>
      <c r="F18" s="47">
        <f ca="1">+($C$15+$C$16*$F$16)-($C$16/2)-15018.5-$C$5/24</f>
        <v>45500.881328212308</v>
      </c>
    </row>
    <row r="19" spans="1:21" s="11" customFormat="1" ht="12.95" customHeight="1" thickTop="1" x14ac:dyDescent="0.2">
      <c r="F19" s="11" t="s">
        <v>42</v>
      </c>
    </row>
    <row r="20" spans="1:21" s="11" customFormat="1" ht="12.95" customHeight="1" thickBot="1" x14ac:dyDescent="0.25">
      <c r="A20" s="24" t="s">
        <v>6</v>
      </c>
      <c r="B20" s="24" t="s">
        <v>7</v>
      </c>
      <c r="C20" s="24" t="s">
        <v>8</v>
      </c>
      <c r="D20" s="24" t="s">
        <v>12</v>
      </c>
      <c r="E20" s="24" t="s">
        <v>9</v>
      </c>
      <c r="F20" s="24" t="s">
        <v>10</v>
      </c>
      <c r="G20" s="24" t="s">
        <v>11</v>
      </c>
      <c r="H20" s="31" t="s">
        <v>37</v>
      </c>
      <c r="I20" s="31" t="s">
        <v>38</v>
      </c>
      <c r="J20" s="31" t="s">
        <v>39</v>
      </c>
      <c r="K20" s="31" t="s">
        <v>40</v>
      </c>
      <c r="L20" s="31" t="s">
        <v>24</v>
      </c>
      <c r="M20" s="31" t="s">
        <v>25</v>
      </c>
      <c r="N20" s="31" t="s">
        <v>26</v>
      </c>
      <c r="O20" s="31" t="s">
        <v>22</v>
      </c>
      <c r="P20" s="32" t="s">
        <v>21</v>
      </c>
      <c r="Q20" s="24" t="s">
        <v>14</v>
      </c>
      <c r="U20" s="33" t="s">
        <v>32</v>
      </c>
    </row>
    <row r="21" spans="1:21" s="11" customFormat="1" ht="12.95" customHeight="1" x14ac:dyDescent="0.2">
      <c r="A21" s="11" t="str">
        <f>D7</f>
        <v>VSX</v>
      </c>
      <c r="C21" s="34">
        <f>C$7</f>
        <v>58257.9202</v>
      </c>
      <c r="D21" s="34" t="s">
        <v>13</v>
      </c>
      <c r="E21" s="11">
        <f>+(C21-C$7)/C$8</f>
        <v>0</v>
      </c>
      <c r="F21" s="11">
        <f>ROUND(2*E21,0)/2</f>
        <v>0</v>
      </c>
      <c r="G21" s="11">
        <f>+C21-(C$7+F21*C$8)</f>
        <v>0</v>
      </c>
      <c r="K21" s="11">
        <f>+G21</f>
        <v>0</v>
      </c>
      <c r="O21" s="11">
        <f ca="1">+C$11+C$12*$F21</f>
        <v>0</v>
      </c>
      <c r="Q21" s="35">
        <f>+C21-15018.5</f>
        <v>43239.4202</v>
      </c>
    </row>
    <row r="22" spans="1:21" s="11" customFormat="1" ht="12.95" customHeight="1" x14ac:dyDescent="0.2">
      <c r="A22" s="39" t="s">
        <v>47</v>
      </c>
      <c r="B22" s="36" t="s">
        <v>48</v>
      </c>
      <c r="C22" s="38">
        <v>59498.292399999998</v>
      </c>
      <c r="D22" s="40">
        <v>4.8999999999999998E-3</v>
      </c>
      <c r="E22" s="11">
        <f>+(C22-C$7)/C$8</f>
        <v>4110.5165169981747</v>
      </c>
      <c r="F22" s="11">
        <f>ROUND(2*E22,0)/2</f>
        <v>4110.5</v>
      </c>
      <c r="G22" s="11">
        <f>+C22-(C$7+F22*C$8)</f>
        <v>4.9841000000014901E-3</v>
      </c>
      <c r="K22" s="11">
        <f>+G22</f>
        <v>4.9841000000014901E-3</v>
      </c>
      <c r="O22" s="11">
        <f ca="1">+C$11+C$12*$F22</f>
        <v>4.9841000000014901E-3</v>
      </c>
      <c r="Q22" s="35">
        <f>+C22-15018.5</f>
        <v>44479.792399999998</v>
      </c>
    </row>
    <row r="23" spans="1:21" s="11" customFormat="1" ht="12.95" customHeight="1" x14ac:dyDescent="0.2">
      <c r="C23" s="34"/>
      <c r="D23" s="34"/>
      <c r="Q23" s="35"/>
    </row>
    <row r="24" spans="1:21" s="11" customFormat="1" ht="12.95" customHeight="1" x14ac:dyDescent="0.2">
      <c r="C24" s="34"/>
      <c r="D24" s="34"/>
      <c r="Q24" s="35"/>
    </row>
    <row r="25" spans="1:21" s="11" customFormat="1" ht="12.95" customHeight="1" x14ac:dyDescent="0.2">
      <c r="C25" s="34"/>
      <c r="D25" s="34"/>
      <c r="Q25" s="35"/>
    </row>
    <row r="26" spans="1:21" s="11" customFormat="1" ht="12.95" customHeight="1" x14ac:dyDescent="0.2">
      <c r="C26" s="34"/>
      <c r="D26" s="34"/>
      <c r="Q26" s="35"/>
    </row>
    <row r="27" spans="1:21" s="11" customFormat="1" ht="12.95" customHeight="1" x14ac:dyDescent="0.2">
      <c r="C27" s="34"/>
      <c r="D27" s="34"/>
      <c r="Q27" s="35"/>
    </row>
    <row r="28" spans="1:21" s="11" customFormat="1" ht="12.95" customHeight="1" x14ac:dyDescent="0.2">
      <c r="C28" s="34"/>
      <c r="D28" s="34"/>
      <c r="Q28" s="35"/>
    </row>
    <row r="29" spans="1:21" s="11" customFormat="1" ht="12.95" customHeight="1" x14ac:dyDescent="0.2">
      <c r="C29" s="34"/>
      <c r="D29" s="34"/>
      <c r="Q29" s="35"/>
    </row>
    <row r="30" spans="1:21" s="11" customFormat="1" ht="12.95" customHeight="1" x14ac:dyDescent="0.2">
      <c r="C30" s="34"/>
      <c r="D30" s="34"/>
      <c r="Q30" s="35"/>
    </row>
    <row r="31" spans="1:21" s="11" customFormat="1" ht="12.95" customHeight="1" x14ac:dyDescent="0.2">
      <c r="C31" s="34"/>
      <c r="D31" s="34"/>
      <c r="Q31" s="35"/>
    </row>
    <row r="32" spans="1:21" s="11" customFormat="1" ht="12.95" customHeight="1" x14ac:dyDescent="0.2">
      <c r="C32" s="34"/>
      <c r="D32" s="34"/>
      <c r="Q32" s="35"/>
    </row>
    <row r="33" spans="3:17" s="11" customFormat="1" ht="12.95" customHeight="1" x14ac:dyDescent="0.2">
      <c r="C33" s="34"/>
      <c r="D33" s="34"/>
      <c r="Q33" s="35"/>
    </row>
    <row r="34" spans="3:17" x14ac:dyDescent="0.2">
      <c r="C34" s="1"/>
      <c r="D34" s="1"/>
    </row>
    <row r="35" spans="3:17" x14ac:dyDescent="0.2">
      <c r="C35" s="1"/>
      <c r="D35" s="1"/>
    </row>
    <row r="36" spans="3:17" x14ac:dyDescent="0.2">
      <c r="C36" s="1"/>
      <c r="D36" s="1"/>
    </row>
    <row r="37" spans="3:17" x14ac:dyDescent="0.2">
      <c r="C37" s="1"/>
      <c r="D37" s="1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2024-07-27T08:13:39Z</dcterms:modified>
</cp:coreProperties>
</file>