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Updates details for Bob\2023 Updates for Bob\"/>
    </mc:Choice>
  </mc:AlternateContent>
  <xr:revisionPtr revIDLastSave="0" documentId="8_{584F07A1-4FBF-4800-BFE5-01B05D074A6E}" xr6:coauthVersionLast="47" xr6:coauthVersionMax="47" xr10:uidLastSave="{00000000-0000-0000-0000-000000000000}"/>
  <bookViews>
    <workbookView xWindow="14040" yWindow="690" windowWidth="13410" windowHeight="14415"/>
  </bookViews>
  <sheets>
    <sheet name="Active" sheetId="3" r:id="rId1"/>
    <sheet name="BAV" sheetId="4" r:id="rId2"/>
    <sheet name="A (old)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3" l="1"/>
  <c r="F39" i="3" s="1"/>
  <c r="G39" i="3" s="1"/>
  <c r="K39" i="3" s="1"/>
  <c r="Q39" i="3"/>
  <c r="E40" i="3"/>
  <c r="F40" i="3"/>
  <c r="G40" i="3" s="1"/>
  <c r="K40" i="3" s="1"/>
  <c r="Q40" i="3"/>
  <c r="E37" i="3"/>
  <c r="F37" i="3"/>
  <c r="G37" i="3"/>
  <c r="K37" i="3"/>
  <c r="E38" i="3"/>
  <c r="F38" i="3"/>
  <c r="G38" i="3"/>
  <c r="K38" i="3"/>
  <c r="Q37" i="3"/>
  <c r="Q38" i="3"/>
  <c r="E35" i="3"/>
  <c r="F35" i="3"/>
  <c r="G35" i="3"/>
  <c r="K35" i="3"/>
  <c r="E36" i="3"/>
  <c r="F36" i="3"/>
  <c r="G36" i="3"/>
  <c r="K36" i="3"/>
  <c r="E32" i="3"/>
  <c r="F32" i="3"/>
  <c r="G32" i="3"/>
  <c r="K32" i="3"/>
  <c r="E33" i="3"/>
  <c r="F33" i="3"/>
  <c r="G33" i="3"/>
  <c r="K33" i="3"/>
  <c r="E34" i="3"/>
  <c r="F34" i="3"/>
  <c r="G34" i="3"/>
  <c r="Q35" i="3"/>
  <c r="Q36" i="3"/>
  <c r="E30" i="3"/>
  <c r="F30" i="3"/>
  <c r="E31" i="3"/>
  <c r="F31" i="3"/>
  <c r="G31" i="3"/>
  <c r="K31" i="3"/>
  <c r="E21" i="3"/>
  <c r="F21" i="3"/>
  <c r="E22" i="3"/>
  <c r="F22" i="3"/>
  <c r="G22" i="3"/>
  <c r="K22" i="3"/>
  <c r="E23" i="3"/>
  <c r="F23" i="3"/>
  <c r="G23" i="3"/>
  <c r="K23" i="3"/>
  <c r="E24" i="3"/>
  <c r="F24" i="3"/>
  <c r="G24" i="3"/>
  <c r="K24" i="3"/>
  <c r="E25" i="3"/>
  <c r="F25" i="3"/>
  <c r="G25" i="3"/>
  <c r="K25" i="3"/>
  <c r="E26" i="3"/>
  <c r="F26" i="3"/>
  <c r="G26" i="3"/>
  <c r="E27" i="3"/>
  <c r="F27" i="3"/>
  <c r="E28" i="3"/>
  <c r="F28" i="3"/>
  <c r="G28" i="3"/>
  <c r="K28" i="3"/>
  <c r="G27" i="3"/>
  <c r="E29" i="3"/>
  <c r="F29" i="3"/>
  <c r="G29" i="3"/>
  <c r="K29" i="3"/>
  <c r="G30" i="3"/>
  <c r="D9" i="3"/>
  <c r="C9" i="3"/>
  <c r="F16" i="3"/>
  <c r="F17" i="3" s="1"/>
  <c r="Q34" i="3"/>
  <c r="K34" i="3"/>
  <c r="Q25" i="3"/>
  <c r="Q24" i="3"/>
  <c r="Q23" i="3"/>
  <c r="Q22" i="3"/>
  <c r="G19" i="4"/>
  <c r="C19" i="4"/>
  <c r="E19" i="4"/>
  <c r="G20" i="4"/>
  <c r="C20" i="4"/>
  <c r="E20" i="4"/>
  <c r="G21" i="4"/>
  <c r="C21" i="4"/>
  <c r="E21" i="4"/>
  <c r="G11" i="4"/>
  <c r="C11" i="4"/>
  <c r="E11" i="4"/>
  <c r="G12" i="4"/>
  <c r="C12" i="4"/>
  <c r="E12" i="4"/>
  <c r="G13" i="4"/>
  <c r="C13" i="4"/>
  <c r="E13" i="4"/>
  <c r="G14" i="4"/>
  <c r="C14" i="4"/>
  <c r="E14" i="4"/>
  <c r="G15" i="4"/>
  <c r="C15" i="4"/>
  <c r="E15" i="4"/>
  <c r="G16" i="4"/>
  <c r="C16" i="4"/>
  <c r="E16" i="4"/>
  <c r="G17" i="4"/>
  <c r="C17" i="4"/>
  <c r="E17" i="4"/>
  <c r="G22" i="4"/>
  <c r="C22" i="4"/>
  <c r="E22" i="4"/>
  <c r="G18" i="4"/>
  <c r="C18" i="4"/>
  <c r="E18" i="4"/>
  <c r="H22" i="4"/>
  <c r="B22" i="4"/>
  <c r="D22" i="4"/>
  <c r="A22" i="4"/>
  <c r="H17" i="4"/>
  <c r="D17" i="4"/>
  <c r="B17" i="4"/>
  <c r="A17" i="4"/>
  <c r="H16" i="4"/>
  <c r="B16" i="4"/>
  <c r="D16" i="4"/>
  <c r="A16" i="4"/>
  <c r="H15" i="4"/>
  <c r="D15" i="4"/>
  <c r="B15" i="4"/>
  <c r="A15" i="4"/>
  <c r="H14" i="4"/>
  <c r="B14" i="4"/>
  <c r="D14" i="4"/>
  <c r="A14" i="4"/>
  <c r="H13" i="4"/>
  <c r="D13" i="4"/>
  <c r="B13" i="4"/>
  <c r="A13" i="4"/>
  <c r="H12" i="4"/>
  <c r="B12" i="4"/>
  <c r="D12" i="4"/>
  <c r="A12" i="4"/>
  <c r="H11" i="4"/>
  <c r="D11" i="4"/>
  <c r="B11" i="4"/>
  <c r="A11" i="4"/>
  <c r="H21" i="4"/>
  <c r="B21" i="4"/>
  <c r="D21" i="4"/>
  <c r="A21" i="4"/>
  <c r="H20" i="4"/>
  <c r="D20" i="4"/>
  <c r="B20" i="4"/>
  <c r="A20" i="4"/>
  <c r="H19" i="4"/>
  <c r="B19" i="4"/>
  <c r="D19" i="4"/>
  <c r="A19" i="4"/>
  <c r="H18" i="4"/>
  <c r="D18" i="4"/>
  <c r="B18" i="4"/>
  <c r="A18" i="4"/>
  <c r="Q26" i="3"/>
  <c r="C17" i="3"/>
  <c r="Q21" i="3"/>
  <c r="K27" i="3"/>
  <c r="Q27" i="3"/>
  <c r="Q28" i="3"/>
  <c r="Q29" i="3"/>
  <c r="K30" i="3"/>
  <c r="Q30" i="3"/>
  <c r="Q31" i="3"/>
  <c r="Q32" i="3"/>
  <c r="Q33" i="3"/>
  <c r="E28" i="2"/>
  <c r="F28" i="2"/>
  <c r="G28" i="2"/>
  <c r="J28" i="2"/>
  <c r="G11" i="2"/>
  <c r="F1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Q28" i="2"/>
  <c r="E21" i="2"/>
  <c r="F21" i="2"/>
  <c r="E15" i="2"/>
  <c r="C17" i="2"/>
  <c r="Q27" i="2"/>
  <c r="Q21" i="2"/>
  <c r="Q22" i="2"/>
  <c r="Q23" i="2"/>
  <c r="Q24" i="2"/>
  <c r="Q25" i="2"/>
  <c r="Q26" i="2"/>
  <c r="C11" i="3"/>
  <c r="C12" i="3"/>
  <c r="C12" i="2"/>
  <c r="C11" i="2"/>
  <c r="O40" i="3" l="1"/>
  <c r="O39" i="3"/>
  <c r="O22" i="2"/>
  <c r="O25" i="2"/>
  <c r="O23" i="2"/>
  <c r="O27" i="2"/>
  <c r="O26" i="2"/>
  <c r="C15" i="2"/>
  <c r="O24" i="2"/>
  <c r="O28" i="2"/>
  <c r="C16" i="2"/>
  <c r="D18" i="2" s="1"/>
  <c r="C16" i="3"/>
  <c r="D18" i="3" s="1"/>
  <c r="O31" i="3"/>
  <c r="O35" i="3"/>
  <c r="O22" i="3"/>
  <c r="O38" i="3"/>
  <c r="O26" i="3"/>
  <c r="O33" i="3"/>
  <c r="O34" i="3"/>
  <c r="O27" i="3"/>
  <c r="O37" i="3"/>
  <c r="O29" i="3"/>
  <c r="O36" i="3"/>
  <c r="C15" i="3"/>
  <c r="O28" i="3"/>
  <c r="O23" i="3"/>
  <c r="O30" i="3"/>
  <c r="O32" i="3"/>
  <c r="O24" i="3"/>
  <c r="O25" i="3"/>
  <c r="E16" i="2" l="1"/>
  <c r="E17" i="2" s="1"/>
  <c r="C18" i="2"/>
  <c r="F18" i="3"/>
  <c r="F19" i="3" s="1"/>
  <c r="C18" i="3"/>
</calcChain>
</file>

<file path=xl/sharedStrings.xml><?xml version="1.0" encoding="utf-8"?>
<sst xmlns="http://schemas.openxmlformats.org/spreadsheetml/2006/main" count="254" uniqueCount="121">
  <si>
    <t>JAVSO..47..105</t>
  </si>
  <si>
    <t>VSX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</si>
  <si>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</si>
  <si>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</si>
  <si>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</si>
  <si>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</si>
  <si>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</si>
  <si>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</si>
  <si>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</si>
  <si>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</si>
  <si>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</si>
  <si>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</si>
  <si>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</si>
  <si>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</si>
  <si>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</si>
  <si>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</si>
  <si>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</si>
  <si>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</si>
  <si>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</si>
  <si>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</si>
  <si>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</si>
  <si>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</si>
  <si>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</si>
  <si>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</si>
  <si>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</si>
  <si>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</si>
  <si>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</si>
  <si>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</si>
  <si>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</si>
  <si>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</si>
  <si>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</si>
  <si>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</si>
  <si>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</si>
  <si>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</si>
  <si>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</si>
  <si>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</si>
  <si>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</si>
  <si>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</si>
  <si>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</si>
  <si>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QR And / GSC 01185-01428</t>
  </si>
  <si>
    <t xml:space="preserve">EA+NL     </t>
  </si>
  <si>
    <t>IBVS 5777</t>
  </si>
  <si>
    <t>I</t>
  </si>
  <si>
    <t>II</t>
  </si>
  <si>
    <t>IBVS 5871</t>
  </si>
  <si>
    <t>Start of linear fit &gt;&gt;&gt;&gt;&gt;&gt;&gt;&gt;&gt;&gt;&gt;&gt;&gt;&gt;&gt;&gt;&gt;&gt;&gt;&gt;&gt;</t>
  </si>
  <si>
    <t>RHN 2009</t>
  </si>
  <si>
    <t>Nelson</t>
  </si>
  <si>
    <t>Asymmetric light curve as well.</t>
  </si>
  <si>
    <t>OEJV 0074</t>
  </si>
  <si>
    <t>Is the cycle count right??</t>
  </si>
  <si>
    <t>IBVS 5929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</si>
  <si>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</si>
  <si>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</si>
  <si>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</si>
  <si>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</si>
  <si>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</si>
  <si>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</si>
  <si>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</si>
  <si>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</si>
  <si>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</si>
  <si>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</si>
  <si>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</si>
  <si>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2451780.4897 </t>
  </si>
  <si>
    <t> 23.08.2000 23:45 </t>
  </si>
  <si>
    <t> 0.1768 </t>
  </si>
  <si>
    <t>C </t>
  </si>
  <si>
    <t>ns</t>
  </si>
  <si>
    <t> J.Šafár </t>
  </si>
  <si>
    <t>OEJV 0074 </t>
  </si>
  <si>
    <t>2451783.3286 </t>
  </si>
  <si>
    <t> 26.08.2000 19:53 </t>
  </si>
  <si>
    <t> 0.0436 </t>
  </si>
  <si>
    <t>2451898.4098 </t>
  </si>
  <si>
    <t> 19.12.2000 21:50 </t>
  </si>
  <si>
    <t> -0.1248 </t>
  </si>
  <si>
    <t>2452857.4022 </t>
  </si>
  <si>
    <t> 05.08.2003 21:39 </t>
  </si>
  <si>
    <t> -0.1153 </t>
  </si>
  <si>
    <t> K.Koss &amp; D.Motl </t>
  </si>
  <si>
    <t>2453991.5901 </t>
  </si>
  <si>
    <t> 13.09.2006 02:09 </t>
  </si>
  <si>
    <t> 0.0688 </t>
  </si>
  <si>
    <t>m</t>
  </si>
  <si>
    <t> S.Parimucha et al. </t>
  </si>
  <si>
    <t>IBVS 5777 </t>
  </si>
  <si>
    <t>2454003.4696 </t>
  </si>
  <si>
    <t> 24.09.2006 23:16 </t>
  </si>
  <si>
    <t> 0.0601 </t>
  </si>
  <si>
    <t>2454009.4160 </t>
  </si>
  <si>
    <t> 30.09.2006 21:59 </t>
  </si>
  <si>
    <t> 0.0624 </t>
  </si>
  <si>
    <t>2454025.2708 </t>
  </si>
  <si>
    <t> 16.10.2006 18:29 </t>
  </si>
  <si>
    <t> 0.0662 </t>
  </si>
  <si>
    <t>2454026.5804 </t>
  </si>
  <si>
    <t> 18.10.2006 01:55 </t>
  </si>
  <si>
    <t> 0.0549 </t>
  </si>
  <si>
    <t>2454792.711 </t>
  </si>
  <si>
    <t> 22.11.2008 05:03 </t>
  </si>
  <si>
    <t> 0.056 </t>
  </si>
  <si>
    <t> R.Diethelm </t>
  </si>
  <si>
    <t>IBVS 5871 </t>
  </si>
  <si>
    <t>2455109.745 </t>
  </si>
  <si>
    <t> 05.10.2009 05:52 </t>
  </si>
  <si>
    <t> 0.071 </t>
  </si>
  <si>
    <t> R.Nelson </t>
  </si>
  <si>
    <t>IBVS 5929 </t>
  </si>
  <si>
    <t>2455857.4089 </t>
  </si>
  <si>
    <t> 22.10.2011 21:48 </t>
  </si>
  <si>
    <t> 0.0980 </t>
  </si>
  <si>
    <t>-I</t>
  </si>
  <si>
    <t> F.Agerer </t>
  </si>
  <si>
    <t>BAVM 225 </t>
  </si>
  <si>
    <t>Add cycle</t>
  </si>
  <si>
    <t>Old Cycle</t>
  </si>
  <si>
    <t>2016-06-06 Checked by ToMcat</t>
  </si>
  <si>
    <t>JAVSO..46..184</t>
  </si>
  <si>
    <t>JAVSO..48…87</t>
  </si>
  <si>
    <t>JAVSO, 48, 87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</si>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</sst>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18" fillId="0" borderId="0"/>
    <xf numFmtId="0" fontId="18" fillId="0" borderId="0"/>
    <xf numFmtId="0" fontId="18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19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5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/>
    <xf numFmtId="0" fontId="9" fillId="0" borderId="0" xfId="0" applyFont="1" applyAlignment="1"/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0" fillId="0" borderId="0" xfId="0" quotePrefix="1" applyAlignment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3" fillId="0" borderId="0" xfId="43" applyFont="1" applyAlignment="1">
      <alignment horizontal="left"/>
    </xf>
    <xf numFmtId="0" fontId="23" fillId="0" borderId="0" xfId="43" applyFon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0" xfId="42" applyFont="1"/>
    <xf numFmtId="0" fontId="14" fillId="0" borderId="0" xfId="42" applyFont="1" applyAlignment="1">
      <alignment horizontal="center"/>
    </xf>
    <xf numFmtId="0" fontId="14" fillId="0" borderId="0" xfId="42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  <xf numFmtId="176" fontId="39" fillId="0" borderId="0" xfId="0" applyNumberFormat="1" applyFont="1" applyAlignment="1">
      <alignment horizontal="right" vertical="center" wrapText="1"/>
    </xf>
    <xf numFmtId="0" fontId="39" fillId="0" borderId="0" xfId="0" applyFont="1" applyAlignment="1">
      <alignment horizontal="righ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And - O-C Diagr.</a:t>
            </a:r>
          </a:p>
        </c:rich>
      </c:tx>
      <c:layout>
        <c:manualLayout>
          <c:xMode val="edge"/>
          <c:yMode val="edge"/>
          <c:x val="0.3816797098835927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457831325301204"/>
          <c:w val="0.81374106463283091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6635</c:v>
                </c:pt>
                <c:pt idx="15">
                  <c:v>6645</c:v>
                </c:pt>
                <c:pt idx="16">
                  <c:v>6532</c:v>
                </c:pt>
                <c:pt idx="17">
                  <c:v>7175</c:v>
                </c:pt>
                <c:pt idx="18">
                  <c:v>7175</c:v>
                </c:pt>
                <c:pt idx="19">
                  <c:v>8377.5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1B-4302-A229-2CDFB3B291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6635</c:v>
                </c:pt>
                <c:pt idx="15">
                  <c:v>6645</c:v>
                </c:pt>
                <c:pt idx="16">
                  <c:v>6532</c:v>
                </c:pt>
                <c:pt idx="17">
                  <c:v>7175</c:v>
                </c:pt>
                <c:pt idx="18">
                  <c:v>7175</c:v>
                </c:pt>
                <c:pt idx="19">
                  <c:v>8377.5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1B-4302-A229-2CDFB3B291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6635</c:v>
                </c:pt>
                <c:pt idx="15">
                  <c:v>6645</c:v>
                </c:pt>
                <c:pt idx="16">
                  <c:v>6532</c:v>
                </c:pt>
                <c:pt idx="17">
                  <c:v>7175</c:v>
                </c:pt>
                <c:pt idx="18">
                  <c:v>7175</c:v>
                </c:pt>
                <c:pt idx="19">
                  <c:v>8377.5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1B-4302-A229-2CDFB3B291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6635</c:v>
                </c:pt>
                <c:pt idx="15">
                  <c:v>6645</c:v>
                </c:pt>
                <c:pt idx="16">
                  <c:v>6532</c:v>
                </c:pt>
                <c:pt idx="17">
                  <c:v>7175</c:v>
                </c:pt>
                <c:pt idx="18">
                  <c:v>7175</c:v>
                </c:pt>
                <c:pt idx="19">
                  <c:v>8377.5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9.8518945429532323E-2</c:v>
                </c:pt>
                <c:pt idx="2">
                  <c:v>-3.4610554568644147E-2</c:v>
                </c:pt>
                <c:pt idx="3">
                  <c:v>0.12811544542637421</c:v>
                </c:pt>
                <c:pt idx="4">
                  <c:v>0.14566344542254228</c:v>
                </c:pt>
                <c:pt idx="6">
                  <c:v>8.9709454259718768E-3</c:v>
                </c:pt>
                <c:pt idx="7">
                  <c:v>3.5294542612973601E-4</c:v>
                </c:pt>
                <c:pt idx="8">
                  <c:v>2.6939454255625606E-3</c:v>
                </c:pt>
                <c:pt idx="9">
                  <c:v>6.6699454255285673E-3</c:v>
                </c:pt>
                <c:pt idx="10">
                  <c:v>-4.6320545734488405E-3</c:v>
                </c:pt>
                <c:pt idx="11">
                  <c:v>2.8079454277758487E-3</c:v>
                </c:pt>
                <c:pt idx="12">
                  <c:v>2.0327945429016836E-2</c:v>
                </c:pt>
                <c:pt idx="13">
                  <c:v>5.3695945432991721E-2</c:v>
                </c:pt>
                <c:pt idx="14">
                  <c:v>0.13388294543256052</c:v>
                </c:pt>
                <c:pt idx="15">
                  <c:v>0.14047294542979216</c:v>
                </c:pt>
                <c:pt idx="16">
                  <c:v>0.1303359454323072</c:v>
                </c:pt>
                <c:pt idx="17">
                  <c:v>0.14334294542641146</c:v>
                </c:pt>
                <c:pt idx="18">
                  <c:v>0.14334294542641146</c:v>
                </c:pt>
                <c:pt idx="19">
                  <c:v>-0.1614845545773278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1B-4302-A229-2CDFB3B291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6635</c:v>
                </c:pt>
                <c:pt idx="15">
                  <c:v>6645</c:v>
                </c:pt>
                <c:pt idx="16">
                  <c:v>6532</c:v>
                </c:pt>
                <c:pt idx="17">
                  <c:v>7175</c:v>
                </c:pt>
                <c:pt idx="18">
                  <c:v>7175</c:v>
                </c:pt>
                <c:pt idx="19">
                  <c:v>8377.5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1B-4302-A229-2CDFB3B291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6635</c:v>
                </c:pt>
                <c:pt idx="15">
                  <c:v>6645</c:v>
                </c:pt>
                <c:pt idx="16">
                  <c:v>6532</c:v>
                </c:pt>
                <c:pt idx="17">
                  <c:v>7175</c:v>
                </c:pt>
                <c:pt idx="18">
                  <c:v>7175</c:v>
                </c:pt>
                <c:pt idx="19">
                  <c:v>8377.5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1B-4302-A229-2CDFB3B291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6635</c:v>
                </c:pt>
                <c:pt idx="15">
                  <c:v>6645</c:v>
                </c:pt>
                <c:pt idx="16">
                  <c:v>6532</c:v>
                </c:pt>
                <c:pt idx="17">
                  <c:v>7175</c:v>
                </c:pt>
                <c:pt idx="18">
                  <c:v>7175</c:v>
                </c:pt>
                <c:pt idx="19">
                  <c:v>8377.5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  <c:pt idx="5">
                  <c:v>0.16985401720739901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1B-4302-A229-2CDFB3B291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6635</c:v>
                </c:pt>
                <c:pt idx="15">
                  <c:v>6645</c:v>
                </c:pt>
                <c:pt idx="16">
                  <c:v>6532</c:v>
                </c:pt>
                <c:pt idx="17">
                  <c:v>7175</c:v>
                </c:pt>
                <c:pt idx="18">
                  <c:v>7175</c:v>
                </c:pt>
                <c:pt idx="19">
                  <c:v>8377.5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">
                  <c:v>1.9688069053445841E-2</c:v>
                </c:pt>
                <c:pt idx="2">
                  <c:v>1.9712622959267134E-2</c:v>
                </c:pt>
                <c:pt idx="3">
                  <c:v>2.0662040651023835E-2</c:v>
                </c:pt>
                <c:pt idx="4">
                  <c:v>2.8584767596028016E-2</c:v>
                </c:pt>
                <c:pt idx="5">
                  <c:v>3.7956174984488542E-2</c:v>
                </c:pt>
                <c:pt idx="6">
                  <c:v>3.7956174984488542E-2</c:v>
                </c:pt>
                <c:pt idx="7">
                  <c:v>3.8054390607773714E-2</c:v>
                </c:pt>
                <c:pt idx="8">
                  <c:v>3.81034984194163E-2</c:v>
                </c:pt>
                <c:pt idx="9">
                  <c:v>3.8234452583796534E-2</c:v>
                </c:pt>
                <c:pt idx="10">
                  <c:v>3.8245365430828224E-2</c:v>
                </c:pt>
                <c:pt idx="11">
                  <c:v>4.4574816709206218E-2</c:v>
                </c:pt>
                <c:pt idx="12">
                  <c:v>4.7193899996810909E-2</c:v>
                </c:pt>
                <c:pt idx="13">
                  <c:v>5.3370571416745297E-2</c:v>
                </c:pt>
                <c:pt idx="14">
                  <c:v>7.4448735458447185E-2</c:v>
                </c:pt>
                <c:pt idx="15">
                  <c:v>7.4503299693605626E-2</c:v>
                </c:pt>
                <c:pt idx="16">
                  <c:v>7.3886723836315352E-2</c:v>
                </c:pt>
                <c:pt idx="17">
                  <c:v>7.7395204157002462E-2</c:v>
                </c:pt>
                <c:pt idx="18">
                  <c:v>7.7395204157002462E-2</c:v>
                </c:pt>
                <c:pt idx="19">
                  <c:v>8.3956553434803793E-2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1B-4302-A229-2CDFB3B29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844848"/>
        <c:axId val="1"/>
      </c:scatterChart>
      <c:valAx>
        <c:axId val="53784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44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427496944561319"/>
          <c:y val="0.92168674698795183"/>
          <c:w val="0.63816841978722127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And - O-C Diagr.</a:t>
            </a:r>
          </a:p>
        </c:rich>
      </c:tx>
      <c:layout>
        <c:manualLayout>
          <c:xMode val="edge"/>
          <c:yMode val="edge"/>
          <c:x val="0.3810975609756097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4414456686540114"/>
          <c:w val="0.82164634146341464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6635</c:v>
                </c:pt>
                <c:pt idx="15">
                  <c:v>6645</c:v>
                </c:pt>
                <c:pt idx="16">
                  <c:v>6532</c:v>
                </c:pt>
                <c:pt idx="17">
                  <c:v>7175</c:v>
                </c:pt>
                <c:pt idx="18">
                  <c:v>7175</c:v>
                </c:pt>
                <c:pt idx="19">
                  <c:v>8377.5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55-4E7B-B8C1-F1763346C6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6635</c:v>
                </c:pt>
                <c:pt idx="15">
                  <c:v>6645</c:v>
                </c:pt>
                <c:pt idx="16">
                  <c:v>6532</c:v>
                </c:pt>
                <c:pt idx="17">
                  <c:v>7175</c:v>
                </c:pt>
                <c:pt idx="18">
                  <c:v>7175</c:v>
                </c:pt>
                <c:pt idx="19">
                  <c:v>8377.5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55-4E7B-B8C1-F1763346C6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6635</c:v>
                </c:pt>
                <c:pt idx="15">
                  <c:v>6645</c:v>
                </c:pt>
                <c:pt idx="16">
                  <c:v>6532</c:v>
                </c:pt>
                <c:pt idx="17">
                  <c:v>7175</c:v>
                </c:pt>
                <c:pt idx="18">
                  <c:v>7175</c:v>
                </c:pt>
                <c:pt idx="19">
                  <c:v>8377.5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55-4E7B-B8C1-F1763346C6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6635</c:v>
                </c:pt>
                <c:pt idx="15">
                  <c:v>6645</c:v>
                </c:pt>
                <c:pt idx="16">
                  <c:v>6532</c:v>
                </c:pt>
                <c:pt idx="17">
                  <c:v>7175</c:v>
                </c:pt>
                <c:pt idx="18">
                  <c:v>7175</c:v>
                </c:pt>
                <c:pt idx="19">
                  <c:v>8377.5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9.8518945429532323E-2</c:v>
                </c:pt>
                <c:pt idx="2">
                  <c:v>-3.4610554568644147E-2</c:v>
                </c:pt>
                <c:pt idx="3">
                  <c:v>0.12811544542637421</c:v>
                </c:pt>
                <c:pt idx="4">
                  <c:v>0.14566344542254228</c:v>
                </c:pt>
                <c:pt idx="6">
                  <c:v>8.9709454259718768E-3</c:v>
                </c:pt>
                <c:pt idx="7">
                  <c:v>3.5294542612973601E-4</c:v>
                </c:pt>
                <c:pt idx="8">
                  <c:v>2.6939454255625606E-3</c:v>
                </c:pt>
                <c:pt idx="9">
                  <c:v>6.6699454255285673E-3</c:v>
                </c:pt>
                <c:pt idx="10">
                  <c:v>-4.6320545734488405E-3</c:v>
                </c:pt>
                <c:pt idx="11">
                  <c:v>2.8079454277758487E-3</c:v>
                </c:pt>
                <c:pt idx="12">
                  <c:v>2.0327945429016836E-2</c:v>
                </c:pt>
                <c:pt idx="13">
                  <c:v>5.3695945432991721E-2</c:v>
                </c:pt>
                <c:pt idx="14">
                  <c:v>0.13388294543256052</c:v>
                </c:pt>
                <c:pt idx="15">
                  <c:v>0.14047294542979216</c:v>
                </c:pt>
                <c:pt idx="16">
                  <c:v>0.1303359454323072</c:v>
                </c:pt>
                <c:pt idx="17">
                  <c:v>0.14334294542641146</c:v>
                </c:pt>
                <c:pt idx="18">
                  <c:v>0.14334294542641146</c:v>
                </c:pt>
                <c:pt idx="19">
                  <c:v>-0.1614845545773278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55-4E7B-B8C1-F1763346C6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6635</c:v>
                </c:pt>
                <c:pt idx="15">
                  <c:v>6645</c:v>
                </c:pt>
                <c:pt idx="16">
                  <c:v>6532</c:v>
                </c:pt>
                <c:pt idx="17">
                  <c:v>7175</c:v>
                </c:pt>
                <c:pt idx="18">
                  <c:v>7175</c:v>
                </c:pt>
                <c:pt idx="19">
                  <c:v>8377.5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55-4E7B-B8C1-F1763346C6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6635</c:v>
                </c:pt>
                <c:pt idx="15">
                  <c:v>6645</c:v>
                </c:pt>
                <c:pt idx="16">
                  <c:v>6532</c:v>
                </c:pt>
                <c:pt idx="17">
                  <c:v>7175</c:v>
                </c:pt>
                <c:pt idx="18">
                  <c:v>7175</c:v>
                </c:pt>
                <c:pt idx="19">
                  <c:v>8377.5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55-4E7B-B8C1-F1763346C6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6635</c:v>
                </c:pt>
                <c:pt idx="15">
                  <c:v>6645</c:v>
                </c:pt>
                <c:pt idx="16">
                  <c:v>6532</c:v>
                </c:pt>
                <c:pt idx="17">
                  <c:v>7175</c:v>
                </c:pt>
                <c:pt idx="18">
                  <c:v>7175</c:v>
                </c:pt>
                <c:pt idx="19">
                  <c:v>8377.5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  <c:pt idx="5">
                  <c:v>0.16985401720739901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55-4E7B-B8C1-F1763346C6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6635</c:v>
                </c:pt>
                <c:pt idx="15">
                  <c:v>6645</c:v>
                </c:pt>
                <c:pt idx="16">
                  <c:v>6532</c:v>
                </c:pt>
                <c:pt idx="17">
                  <c:v>7175</c:v>
                </c:pt>
                <c:pt idx="18">
                  <c:v>7175</c:v>
                </c:pt>
                <c:pt idx="19">
                  <c:v>8377.5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">
                  <c:v>1.9688069053445841E-2</c:v>
                </c:pt>
                <c:pt idx="2">
                  <c:v>1.9712622959267134E-2</c:v>
                </c:pt>
                <c:pt idx="3">
                  <c:v>2.0662040651023835E-2</c:v>
                </c:pt>
                <c:pt idx="4">
                  <c:v>2.8584767596028016E-2</c:v>
                </c:pt>
                <c:pt idx="5">
                  <c:v>3.7956174984488542E-2</c:v>
                </c:pt>
                <c:pt idx="6">
                  <c:v>3.7956174984488542E-2</c:v>
                </c:pt>
                <c:pt idx="7">
                  <c:v>3.8054390607773714E-2</c:v>
                </c:pt>
                <c:pt idx="8">
                  <c:v>3.81034984194163E-2</c:v>
                </c:pt>
                <c:pt idx="9">
                  <c:v>3.8234452583796534E-2</c:v>
                </c:pt>
                <c:pt idx="10">
                  <c:v>3.8245365430828224E-2</c:v>
                </c:pt>
                <c:pt idx="11">
                  <c:v>4.4574816709206218E-2</c:v>
                </c:pt>
                <c:pt idx="12">
                  <c:v>4.7193899996810909E-2</c:v>
                </c:pt>
                <c:pt idx="13">
                  <c:v>5.3370571416745297E-2</c:v>
                </c:pt>
                <c:pt idx="14">
                  <c:v>7.4448735458447185E-2</c:v>
                </c:pt>
                <c:pt idx="15">
                  <c:v>7.4503299693605626E-2</c:v>
                </c:pt>
                <c:pt idx="16">
                  <c:v>7.3886723836315352E-2</c:v>
                </c:pt>
                <c:pt idx="17">
                  <c:v>7.7395204157002462E-2</c:v>
                </c:pt>
                <c:pt idx="18">
                  <c:v>7.7395204157002462E-2</c:v>
                </c:pt>
                <c:pt idx="19">
                  <c:v>8.3956553434803793E-2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55-4E7B-B8C1-F1763346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845504"/>
        <c:axId val="1"/>
      </c:scatterChart>
      <c:valAx>
        <c:axId val="537845504"/>
        <c:scaling>
          <c:orientation val="minMax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1463414634143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878048780491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45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47560975609756"/>
          <c:y val="0.92192475940507435"/>
          <c:w val="0.6371951219512195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And - O-C Diagr.</a:t>
            </a:r>
          </a:p>
        </c:rich>
      </c:tx>
      <c:layout>
        <c:manualLayout>
          <c:xMode val="edge"/>
          <c:yMode val="edge"/>
          <c:x val="0.3807345870756980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78942920199375"/>
          <c:w val="0.8211021435130917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F6-4440-A80F-4BB35745AFD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(old)'!$I$21:$I$996</c:f>
              <c:numCache>
                <c:formatCode>General</c:formatCode>
                <c:ptCount val="976"/>
                <c:pt idx="1">
                  <c:v>2.5489321778877638E-3</c:v>
                </c:pt>
                <c:pt idx="2">
                  <c:v>-3.8880067222635262E-3</c:v>
                </c:pt>
                <c:pt idx="3">
                  <c:v>-4.564761693472974E-4</c:v>
                </c:pt>
                <c:pt idx="4">
                  <c:v>6.4276053017238155E-3</c:v>
                </c:pt>
                <c:pt idx="5">
                  <c:v>-4.6320545734488405E-3</c:v>
                </c:pt>
                <c:pt idx="6">
                  <c:v>0.14336521659424761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F6-4440-A80F-4BB35745AFD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(old)'!$J$21:$J$996</c:f>
              <c:numCache>
                <c:formatCode>General</c:formatCode>
                <c:ptCount val="976"/>
                <c:pt idx="7">
                  <c:v>-0.11111806892586173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F6-4440-A80F-4BB35745AFD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F6-4440-A80F-4BB35745AFD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F6-4440-A80F-4BB35745AFD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F6-4440-A80F-4BB35745AFD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F6-4440-A80F-4BB35745AFD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(old)'!$O$21:$O$996</c:f>
              <c:numCache>
                <c:formatCode>General</c:formatCode>
                <c:ptCount val="976"/>
                <c:pt idx="1">
                  <c:v>8.7154967580266238E-3</c:v>
                </c:pt>
                <c:pt idx="2">
                  <c:v>8.5460632992740548E-3</c:v>
                </c:pt>
                <c:pt idx="3">
                  <c:v>8.4613465698977711E-3</c:v>
                </c:pt>
                <c:pt idx="4">
                  <c:v>8.2354352915610125E-3</c:v>
                </c:pt>
                <c:pt idx="5">
                  <c:v>8.2166093516996153E-3</c:v>
                </c:pt>
                <c:pt idx="6">
                  <c:v>-2.7024357679103807E-3</c:v>
                </c:pt>
                <c:pt idx="7">
                  <c:v>-7.2253678196108999E-3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F6-4440-A80F-4BB35745A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852064"/>
        <c:axId val="1"/>
      </c:scatterChart>
      <c:valAx>
        <c:axId val="537852064"/>
        <c:scaling>
          <c:orientation val="minMax"/>
          <c:max val="1800"/>
          <c:min val="-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946864440110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52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48044338494384"/>
          <c:y val="0.9204921861831491"/>
          <c:w val="0.7155974539879762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And - O-C Diagr.</a:t>
            </a:r>
          </a:p>
        </c:rich>
      </c:tx>
      <c:layout>
        <c:manualLayout>
          <c:xMode val="edge"/>
          <c:yMode val="edge"/>
          <c:x val="0.3816797098835927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634168126798494"/>
          <c:w val="0.81374106463283091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AF-42AE-9D73-CA0D519DF5C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(old)'!$I$21:$I$996</c:f>
              <c:numCache>
                <c:formatCode>General</c:formatCode>
                <c:ptCount val="976"/>
                <c:pt idx="1">
                  <c:v>2.5489321778877638E-3</c:v>
                </c:pt>
                <c:pt idx="2">
                  <c:v>-3.8880067222635262E-3</c:v>
                </c:pt>
                <c:pt idx="3">
                  <c:v>-4.564761693472974E-4</c:v>
                </c:pt>
                <c:pt idx="4">
                  <c:v>6.4276053017238155E-3</c:v>
                </c:pt>
                <c:pt idx="5">
                  <c:v>-4.6320545734488405E-3</c:v>
                </c:pt>
                <c:pt idx="6">
                  <c:v>0.14336521659424761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AF-42AE-9D73-CA0D519DF5C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(old)'!$J$21:$J$996</c:f>
              <c:numCache>
                <c:formatCode>General</c:formatCode>
                <c:ptCount val="976"/>
                <c:pt idx="7">
                  <c:v>-0.11111806892586173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AF-42AE-9D73-CA0D519DF5C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AF-42AE-9D73-CA0D519DF5C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AF-42AE-9D73-CA0D519DF5C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AF-42AE-9D73-CA0D519DF5C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AF-42AE-9D73-CA0D519DF5C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(old)'!$O$21:$O$996</c:f>
              <c:numCache>
                <c:formatCode>General</c:formatCode>
                <c:ptCount val="976"/>
                <c:pt idx="1">
                  <c:v>8.7154967580266238E-3</c:v>
                </c:pt>
                <c:pt idx="2">
                  <c:v>8.5460632992740548E-3</c:v>
                </c:pt>
                <c:pt idx="3">
                  <c:v>8.4613465698977711E-3</c:v>
                </c:pt>
                <c:pt idx="4">
                  <c:v>8.2354352915610125E-3</c:v>
                </c:pt>
                <c:pt idx="5">
                  <c:v>8.2166093516996153E-3</c:v>
                </c:pt>
                <c:pt idx="6">
                  <c:v>-2.7024357679103807E-3</c:v>
                </c:pt>
                <c:pt idx="7">
                  <c:v>-7.2253678196108999E-3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AF-42AE-9D73-CA0D519D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270968"/>
        <c:axId val="1"/>
      </c:scatterChart>
      <c:valAx>
        <c:axId val="45827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27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10703051431548"/>
          <c:y val="0.92073298764483702"/>
          <c:w val="0.7145042976498167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26</xdr:col>
      <xdr:colOff>66675</xdr:colOff>
      <xdr:row>18</xdr:row>
      <xdr:rowOff>47625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916128CD-5B57-5C1E-9EA5-43699EA58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0</xdr:row>
      <xdr:rowOff>0</xdr:rowOff>
    </xdr:from>
    <xdr:to>
      <xdr:col>17</xdr:col>
      <xdr:colOff>323850</xdr:colOff>
      <xdr:row>18</xdr:row>
      <xdr:rowOff>57150</xdr:rowOff>
    </xdr:to>
    <xdr:graphicFrame macro="">
      <xdr:nvGraphicFramePr>
        <xdr:cNvPr id="52229" name="Chart 3">
          <a:extLst>
            <a:ext uri="{FF2B5EF4-FFF2-40B4-BE49-F238E27FC236}">
              <a16:creationId xmlns:a16="http://schemas.microsoft.com/office/drawing/2014/main" id="{CD6658BE-B3C8-896D-A3A9-230314284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BF93F131-849A-3A4A-5413-E93568C97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66675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EF851D1D-107B-536B-6EF8-E782BDCB8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77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777" TargetMode="External"/><Relationship Id="rId12" Type="http://schemas.openxmlformats.org/officeDocument/2006/relationships/hyperlink" Target="http://www.konkoly.hu/cgi-bin/IBVS?5929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777" TargetMode="External"/><Relationship Id="rId11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5777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77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6936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140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ht="15" x14ac:dyDescent="0.2">
      <c r="A2" t="s">
        <v>26</v>
      </c>
      <c r="B2" t="s">
        <v>40</v>
      </c>
      <c r="C2" s="36"/>
      <c r="D2" s="37"/>
      <c r="E2" s="38"/>
    </row>
    <row r="3" spans="1:6" ht="13.5" thickBot="1" x14ac:dyDescent="0.25">
      <c r="C3" s="31"/>
      <c r="D3" s="38"/>
      <c r="E3" s="39" t="s">
        <v>48</v>
      </c>
    </row>
    <row r="4" spans="1:6" ht="14.25" thickTop="1" thickBot="1" x14ac:dyDescent="0.25">
      <c r="A4" s="5" t="s">
        <v>2</v>
      </c>
      <c r="C4" s="8">
        <v>35799.247000000003</v>
      </c>
      <c r="D4" s="9">
        <v>0.6604565</v>
      </c>
      <c r="E4" s="35" t="s">
        <v>50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3</v>
      </c>
    </row>
    <row r="7" spans="1:6" x14ac:dyDescent="0.2">
      <c r="A7" t="s">
        <v>4</v>
      </c>
      <c r="C7">
        <v>54026.585032054572</v>
      </c>
    </row>
    <row r="8" spans="1:6" x14ac:dyDescent="0.2">
      <c r="A8" t="s">
        <v>5</v>
      </c>
      <c r="C8" s="53">
        <v>0.66045100000000001</v>
      </c>
      <c r="D8" t="s">
        <v>1</v>
      </c>
      <c r="E8" s="54" t="s">
        <v>116</v>
      </c>
    </row>
    <row r="9" spans="1:6" x14ac:dyDescent="0.2">
      <c r="A9" s="32" t="s">
        <v>45</v>
      </c>
      <c r="B9" s="33">
        <v>32</v>
      </c>
      <c r="C9" s="30" t="str">
        <f>"F"&amp;B9</f>
        <v>F32</v>
      </c>
      <c r="D9" s="31" t="str">
        <f>"G"&amp;B9</f>
        <v>G32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9">
        <f ca="1">INTERCEPT(INDIRECT($D$9):G974,INDIRECT($C$9):F974)</f>
        <v>3.8245365430828224E-2</v>
      </c>
      <c r="D11" s="3"/>
      <c r="E11" s="12"/>
    </row>
    <row r="12" spans="1:6" x14ac:dyDescent="0.2">
      <c r="A12" s="12" t="s">
        <v>19</v>
      </c>
      <c r="B12" s="12"/>
      <c r="C12" s="29">
        <f ca="1">SLOPE(INDIRECT($D$9):G974,INDIRECT($C$9):F974)</f>
        <v>5.4564235158431E-6</v>
      </c>
      <c r="D12" s="3"/>
      <c r="E12" s="12"/>
    </row>
    <row r="13" spans="1:6" x14ac:dyDescent="0.2">
      <c r="A13" s="12" t="s">
        <v>21</v>
      </c>
      <c r="B13" s="12"/>
      <c r="C13" s="3" t="s">
        <v>16</v>
      </c>
      <c r="D13" s="3"/>
      <c r="E13" s="12"/>
    </row>
    <row r="14" spans="1:6" x14ac:dyDescent="0.2">
      <c r="A14" s="12"/>
      <c r="B14" s="12"/>
      <c r="C14" s="12"/>
      <c r="D14" s="12"/>
      <c r="E14" s="12"/>
    </row>
    <row r="15" spans="1:6" x14ac:dyDescent="0.2">
      <c r="A15" s="14" t="s">
        <v>20</v>
      </c>
      <c r="B15" s="12"/>
      <c r="C15" s="15">
        <f ca="1">(C7+C11)+(C8+C12)*INT(MAX(F21:F3515))</f>
        <v>59559.267012879798</v>
      </c>
      <c r="E15" s="16" t="s">
        <v>114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0.6604564564235158</v>
      </c>
      <c r="E16" s="16" t="s">
        <v>35</v>
      </c>
      <c r="F16" s="17">
        <f ca="1">NOW()+15018.5+$C$5/24</f>
        <v>59912.703363310182</v>
      </c>
    </row>
    <row r="17" spans="1:17" ht="13.5" thickBot="1" x14ac:dyDescent="0.25">
      <c r="A17" s="16" t="s">
        <v>32</v>
      </c>
      <c r="B17" s="12"/>
      <c r="C17" s="12">
        <f>COUNT(C21:C2173)</f>
        <v>20</v>
      </c>
      <c r="E17" s="16" t="s">
        <v>115</v>
      </c>
      <c r="F17" s="17">
        <f ca="1">ROUND(2*(F16-$C$7)/$C$8,0)/2+F15</f>
        <v>8913.5</v>
      </c>
    </row>
    <row r="18" spans="1:17" ht="14.25" thickTop="1" thickBot="1" x14ac:dyDescent="0.25">
      <c r="A18" s="18" t="s">
        <v>7</v>
      </c>
      <c r="B18" s="12"/>
      <c r="C18" s="21">
        <f ca="1">+C15</f>
        <v>59559.267012879798</v>
      </c>
      <c r="D18" s="22">
        <f ca="1">+C16</f>
        <v>0.6604564564235158</v>
      </c>
      <c r="E18" s="16" t="s">
        <v>36</v>
      </c>
      <c r="F18" s="31">
        <f ca="1">ROUND(2*(F16-$C$15)/$C$16,0)/2+F15</f>
        <v>536</v>
      </c>
    </row>
    <row r="19" spans="1:17" ht="13.5" thickTop="1" x14ac:dyDescent="0.2">
      <c r="E19" s="16" t="s">
        <v>37</v>
      </c>
      <c r="F19" s="20">
        <f ca="1">+$C$15+$C$16*F18-15018.5-$C$5/24</f>
        <v>44895.167506856138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17</v>
      </c>
    </row>
    <row r="21" spans="1:17" x14ac:dyDescent="0.2">
      <c r="A21" t="s">
        <v>14</v>
      </c>
      <c r="C21" s="10">
        <v>35799.247000000003</v>
      </c>
      <c r="D21" s="10" t="s">
        <v>16</v>
      </c>
      <c r="E21">
        <f t="shared" ref="E21:E36" si="0">+(C21-C$7)/C$8</f>
        <v>-27598.319984456939</v>
      </c>
      <c r="F21">
        <f t="shared" ref="F21:F38" si="1">ROUND(2*E21,0)/2</f>
        <v>-27598.5</v>
      </c>
      <c r="H21">
        <v>0</v>
      </c>
      <c r="Q21" s="2">
        <f t="shared" ref="Q21:Q36" si="2">+C21-15018.5</f>
        <v>20780.747000000003</v>
      </c>
    </row>
    <row r="22" spans="1:17" x14ac:dyDescent="0.2">
      <c r="A22" t="s">
        <v>69</v>
      </c>
      <c r="B22" t="s">
        <v>42</v>
      </c>
      <c r="C22" s="10">
        <v>51780.489699999998</v>
      </c>
      <c r="D22" s="10" t="s">
        <v>62</v>
      </c>
      <c r="E22">
        <f t="shared" si="0"/>
        <v>-3400.8508308028513</v>
      </c>
      <c r="F22">
        <f t="shared" si="1"/>
        <v>-3401</v>
      </c>
      <c r="G22">
        <f t="shared" ref="G22:G36" si="3">+C22-(C$7+F22*C$8)</f>
        <v>9.8518945429532323E-2</v>
      </c>
      <c r="K22">
        <f>+G22</f>
        <v>9.8518945429532323E-2</v>
      </c>
      <c r="O22">
        <f t="shared" ref="O22:O36" ca="1" si="4">+C$11+C$12*$F22</f>
        <v>1.9688069053445841E-2</v>
      </c>
      <c r="Q22" s="2">
        <f t="shared" si="2"/>
        <v>36761.989699999998</v>
      </c>
    </row>
    <row r="23" spans="1:17" x14ac:dyDescent="0.2">
      <c r="A23" t="s">
        <v>69</v>
      </c>
      <c r="B23" t="s">
        <v>43</v>
      </c>
      <c r="C23" s="10">
        <v>51783.328600000001</v>
      </c>
      <c r="D23" s="10" t="s">
        <v>62</v>
      </c>
      <c r="E23">
        <f t="shared" si="0"/>
        <v>-3396.5524044245094</v>
      </c>
      <c r="F23">
        <f t="shared" si="1"/>
        <v>-3396.5</v>
      </c>
      <c r="G23">
        <f t="shared" si="3"/>
        <v>-3.4610554568644147E-2</v>
      </c>
      <c r="K23">
        <f>+G23</f>
        <v>-3.4610554568644147E-2</v>
      </c>
      <c r="O23">
        <f t="shared" ca="1" si="4"/>
        <v>1.9712622959267134E-2</v>
      </c>
      <c r="Q23" s="2">
        <f t="shared" si="2"/>
        <v>36764.828600000001</v>
      </c>
    </row>
    <row r="24" spans="1:17" x14ac:dyDescent="0.2">
      <c r="A24" t="s">
        <v>69</v>
      </c>
      <c r="B24" t="s">
        <v>42</v>
      </c>
      <c r="C24" s="10">
        <v>51898.409800000001</v>
      </c>
      <c r="D24" s="10" t="s">
        <v>62</v>
      </c>
      <c r="E24">
        <f t="shared" si="0"/>
        <v>-3222.3060182429449</v>
      </c>
      <c r="F24">
        <f t="shared" si="1"/>
        <v>-3222.5</v>
      </c>
      <c r="G24">
        <f t="shared" si="3"/>
        <v>0.12811544542637421</v>
      </c>
      <c r="K24">
        <f>+G24</f>
        <v>0.12811544542637421</v>
      </c>
      <c r="O24">
        <f t="shared" ca="1" si="4"/>
        <v>2.0662040651023835E-2</v>
      </c>
      <c r="Q24" s="2">
        <f t="shared" si="2"/>
        <v>36879.909800000001</v>
      </c>
    </row>
    <row r="25" spans="1:17" x14ac:dyDescent="0.2">
      <c r="A25" s="55" t="s">
        <v>69</v>
      </c>
      <c r="B25" s="55" t="s">
        <v>42</v>
      </c>
      <c r="C25" s="56">
        <v>52857.402199999997</v>
      </c>
      <c r="D25" s="56" t="s">
        <v>62</v>
      </c>
      <c r="E25">
        <f t="shared" si="0"/>
        <v>-1770.2794485201409</v>
      </c>
      <c r="F25">
        <f t="shared" si="1"/>
        <v>-1770.5</v>
      </c>
      <c r="G25">
        <f t="shared" si="3"/>
        <v>0.14566344542254228</v>
      </c>
      <c r="K25">
        <f>+G25</f>
        <v>0.14566344542254228</v>
      </c>
      <c r="O25">
        <f t="shared" ca="1" si="4"/>
        <v>2.8584767596028016E-2</v>
      </c>
      <c r="Q25" s="2">
        <f t="shared" si="2"/>
        <v>37838.902199999997</v>
      </c>
    </row>
    <row r="26" spans="1:17" x14ac:dyDescent="0.2">
      <c r="A26" s="57" t="s">
        <v>49</v>
      </c>
      <c r="B26" s="58" t="s">
        <v>42</v>
      </c>
      <c r="C26" s="59">
        <v>53991.587570000003</v>
      </c>
      <c r="D26" s="59">
        <v>1E-3</v>
      </c>
      <c r="E26">
        <f t="shared" si="0"/>
        <v>-52.990247655873091</v>
      </c>
      <c r="F26">
        <f t="shared" si="1"/>
        <v>-53</v>
      </c>
      <c r="G26">
        <f t="shared" si="3"/>
        <v>6.4409454280394129E-3</v>
      </c>
      <c r="N26" s="31">
        <v>0.16985401720739901</v>
      </c>
      <c r="O26">
        <f t="shared" ca="1" si="4"/>
        <v>3.7956174984488542E-2</v>
      </c>
      <c r="Q26" s="2">
        <f t="shared" si="2"/>
        <v>38973.087570000003</v>
      </c>
    </row>
    <row r="27" spans="1:17" x14ac:dyDescent="0.2">
      <c r="A27" s="59" t="s">
        <v>41</v>
      </c>
      <c r="B27" s="60" t="s">
        <v>42</v>
      </c>
      <c r="C27" s="61">
        <v>53991.590100000001</v>
      </c>
      <c r="D27" s="61">
        <v>2.0000000000000001E-4</v>
      </c>
      <c r="E27">
        <f t="shared" si="0"/>
        <v>-52.986416940198602</v>
      </c>
      <c r="F27">
        <f t="shared" si="1"/>
        <v>-53</v>
      </c>
      <c r="G27">
        <f t="shared" si="3"/>
        <v>8.9709454259718768E-3</v>
      </c>
      <c r="K27">
        <f t="shared" ref="K27:K36" si="5">+G27</f>
        <v>8.9709454259718768E-3</v>
      </c>
      <c r="O27">
        <f t="shared" ca="1" si="4"/>
        <v>3.7956174984488542E-2</v>
      </c>
      <c r="Q27" s="2">
        <f t="shared" si="2"/>
        <v>38973.090100000001</v>
      </c>
    </row>
    <row r="28" spans="1:17" x14ac:dyDescent="0.2">
      <c r="A28" s="59" t="s">
        <v>41</v>
      </c>
      <c r="B28" s="60" t="s">
        <v>42</v>
      </c>
      <c r="C28" s="61">
        <v>54003.469599999997</v>
      </c>
      <c r="D28" s="61">
        <v>1E-4</v>
      </c>
      <c r="E28">
        <f t="shared" si="0"/>
        <v>-34.999465599379285</v>
      </c>
      <c r="F28">
        <f t="shared" si="1"/>
        <v>-35</v>
      </c>
      <c r="G28">
        <f t="shared" si="3"/>
        <v>3.5294542612973601E-4</v>
      </c>
      <c r="K28">
        <f t="shared" si="5"/>
        <v>3.5294542612973601E-4</v>
      </c>
      <c r="O28">
        <f t="shared" ca="1" si="4"/>
        <v>3.8054390607773714E-2</v>
      </c>
      <c r="Q28" s="2">
        <f t="shared" si="2"/>
        <v>38984.969599999997</v>
      </c>
    </row>
    <row r="29" spans="1:17" x14ac:dyDescent="0.2">
      <c r="A29" s="59" t="s">
        <v>41</v>
      </c>
      <c r="B29" s="60" t="s">
        <v>42</v>
      </c>
      <c r="C29" s="61">
        <v>54009.415999999997</v>
      </c>
      <c r="D29" s="61">
        <v>2.0000000000000001E-4</v>
      </c>
      <c r="E29">
        <f t="shared" si="0"/>
        <v>-25.995921051788741</v>
      </c>
      <c r="F29">
        <f t="shared" si="1"/>
        <v>-26</v>
      </c>
      <c r="G29">
        <f t="shared" si="3"/>
        <v>2.6939454255625606E-3</v>
      </c>
      <c r="K29">
        <f t="shared" si="5"/>
        <v>2.6939454255625606E-3</v>
      </c>
      <c r="O29">
        <f t="shared" ca="1" si="4"/>
        <v>3.81034984194163E-2</v>
      </c>
      <c r="Q29" s="2">
        <f t="shared" si="2"/>
        <v>38990.915999999997</v>
      </c>
    </row>
    <row r="30" spans="1:17" x14ac:dyDescent="0.2">
      <c r="A30" s="59" t="s">
        <v>41</v>
      </c>
      <c r="B30" s="60" t="s">
        <v>43</v>
      </c>
      <c r="C30" s="61">
        <v>54025.270799999998</v>
      </c>
      <c r="D30" s="61">
        <v>1E-4</v>
      </c>
      <c r="E30">
        <f t="shared" si="0"/>
        <v>-1.9899009231176112</v>
      </c>
      <c r="F30">
        <f t="shared" si="1"/>
        <v>-2</v>
      </c>
      <c r="G30">
        <f t="shared" si="3"/>
        <v>6.6699454255285673E-3</v>
      </c>
      <c r="K30">
        <f t="shared" si="5"/>
        <v>6.6699454255285673E-3</v>
      </c>
      <c r="O30">
        <f t="shared" ca="1" si="4"/>
        <v>3.8234452583796534E-2</v>
      </c>
      <c r="Q30" s="2">
        <f t="shared" si="2"/>
        <v>39006.770799999998</v>
      </c>
    </row>
    <row r="31" spans="1:17" x14ac:dyDescent="0.2">
      <c r="A31" s="59" t="s">
        <v>41</v>
      </c>
      <c r="B31" s="60" t="s">
        <v>42</v>
      </c>
      <c r="C31" s="61">
        <v>54026.580399999999</v>
      </c>
      <c r="D31" s="61">
        <v>1E-4</v>
      </c>
      <c r="E31">
        <f t="shared" si="0"/>
        <v>-7.0134719660487161E-3</v>
      </c>
      <c r="F31">
        <f t="shared" si="1"/>
        <v>0</v>
      </c>
      <c r="G31">
        <f t="shared" si="3"/>
        <v>-4.6320545734488405E-3</v>
      </c>
      <c r="K31">
        <f t="shared" si="5"/>
        <v>-4.6320545734488405E-3</v>
      </c>
      <c r="O31">
        <f t="shared" ca="1" si="4"/>
        <v>3.8245365430828224E-2</v>
      </c>
      <c r="Q31" s="2">
        <f t="shared" si="2"/>
        <v>39008.080399999999</v>
      </c>
    </row>
    <row r="32" spans="1:17" x14ac:dyDescent="0.2">
      <c r="A32" s="62" t="s">
        <v>44</v>
      </c>
      <c r="B32" s="63" t="s">
        <v>42</v>
      </c>
      <c r="C32" s="62">
        <v>54792.711000000003</v>
      </c>
      <c r="D32" s="62">
        <v>3.0000000000000001E-3</v>
      </c>
      <c r="E32">
        <f t="shared" si="0"/>
        <v>1160.0042515575426</v>
      </c>
      <c r="F32">
        <f t="shared" si="1"/>
        <v>1160</v>
      </c>
      <c r="G32">
        <f t="shared" si="3"/>
        <v>2.8079454277758487E-3</v>
      </c>
      <c r="K32">
        <f t="shared" si="5"/>
        <v>2.8079454277758487E-3</v>
      </c>
      <c r="O32">
        <f t="shared" ca="1" si="4"/>
        <v>4.4574816709206218E-2</v>
      </c>
      <c r="Q32" s="2">
        <f t="shared" si="2"/>
        <v>39774.211000000003</v>
      </c>
    </row>
    <row r="33" spans="1:17" x14ac:dyDescent="0.2">
      <c r="A33" s="64" t="s">
        <v>51</v>
      </c>
      <c r="B33" s="55"/>
      <c r="C33" s="56">
        <v>55109.745000000003</v>
      </c>
      <c r="D33" s="56">
        <v>1E-3</v>
      </c>
      <c r="E33">
        <f t="shared" si="0"/>
        <v>1640.0307788850805</v>
      </c>
      <c r="F33">
        <f t="shared" si="1"/>
        <v>1640</v>
      </c>
      <c r="G33">
        <f t="shared" si="3"/>
        <v>2.0327945429016836E-2</v>
      </c>
      <c r="K33">
        <f t="shared" si="5"/>
        <v>2.0327945429016836E-2</v>
      </c>
      <c r="O33">
        <f t="shared" ca="1" si="4"/>
        <v>4.7193899996810909E-2</v>
      </c>
      <c r="Q33" s="2">
        <f t="shared" si="2"/>
        <v>40091.245000000003</v>
      </c>
    </row>
    <row r="34" spans="1:17" x14ac:dyDescent="0.2">
      <c r="A34" s="55" t="s">
        <v>113</v>
      </c>
      <c r="B34" s="55" t="s">
        <v>42</v>
      </c>
      <c r="C34" s="56">
        <v>55857.408900000002</v>
      </c>
      <c r="D34" s="56" t="s">
        <v>62</v>
      </c>
      <c r="E34">
        <f t="shared" si="0"/>
        <v>2772.081301936752</v>
      </c>
      <c r="F34">
        <f t="shared" si="1"/>
        <v>2772</v>
      </c>
      <c r="G34">
        <f t="shared" si="3"/>
        <v>5.3695945432991721E-2</v>
      </c>
      <c r="K34">
        <f t="shared" si="5"/>
        <v>5.3695945432991721E-2</v>
      </c>
      <c r="O34">
        <f t="shared" ca="1" si="4"/>
        <v>5.3370571416745297E-2</v>
      </c>
      <c r="Q34" s="2">
        <f t="shared" si="2"/>
        <v>40838.908900000002</v>
      </c>
    </row>
    <row r="35" spans="1:17" x14ac:dyDescent="0.2">
      <c r="A35" s="65" t="s">
        <v>0</v>
      </c>
      <c r="B35" s="66" t="s">
        <v>42</v>
      </c>
      <c r="C35" s="65">
        <v>58408.811300000001</v>
      </c>
      <c r="D35" s="65">
        <v>2.0000000000000001E-4</v>
      </c>
      <c r="E35">
        <f t="shared" si="0"/>
        <v>6635.2027144260946</v>
      </c>
      <c r="F35">
        <f t="shared" si="1"/>
        <v>6635</v>
      </c>
      <c r="G35">
        <f t="shared" si="3"/>
        <v>0.13388294543256052</v>
      </c>
      <c r="K35">
        <f t="shared" si="5"/>
        <v>0.13388294543256052</v>
      </c>
      <c r="O35">
        <f t="shared" ca="1" si="4"/>
        <v>7.4448735458447185E-2</v>
      </c>
      <c r="Q35" s="2">
        <f t="shared" si="2"/>
        <v>43390.311300000001</v>
      </c>
    </row>
    <row r="36" spans="1:17" x14ac:dyDescent="0.2">
      <c r="A36" s="65" t="s">
        <v>0</v>
      </c>
      <c r="B36" s="66" t="s">
        <v>42</v>
      </c>
      <c r="C36" s="65">
        <v>58415.422400000003</v>
      </c>
      <c r="D36" s="65">
        <v>2.9999999999999997E-4</v>
      </c>
      <c r="E36">
        <f t="shared" si="0"/>
        <v>6645.2126924562617</v>
      </c>
      <c r="F36">
        <f t="shared" si="1"/>
        <v>6645</v>
      </c>
      <c r="G36">
        <f t="shared" si="3"/>
        <v>0.14047294542979216</v>
      </c>
      <c r="K36">
        <f t="shared" si="5"/>
        <v>0.14047294542979216</v>
      </c>
      <c r="O36">
        <f t="shared" ca="1" si="4"/>
        <v>7.4503299693605626E-2</v>
      </c>
      <c r="Q36" s="2">
        <f t="shared" si="2"/>
        <v>43396.922400000003</v>
      </c>
    </row>
    <row r="37" spans="1:17" x14ac:dyDescent="0.2">
      <c r="A37" s="67" t="s">
        <v>117</v>
      </c>
      <c r="B37" s="28" t="s">
        <v>42</v>
      </c>
      <c r="C37" s="68">
        <v>58340.781300000002</v>
      </c>
      <c r="D37" s="68">
        <v>2.9999999999999997E-4</v>
      </c>
      <c r="E37">
        <f>+(C37-C$7)/C$8</f>
        <v>6532.1973438535633</v>
      </c>
      <c r="F37">
        <f t="shared" si="1"/>
        <v>6532</v>
      </c>
      <c r="G37">
        <f>+C37-(C$7+F37*C$8)</f>
        <v>0.1303359454323072</v>
      </c>
      <c r="K37">
        <f>+G37</f>
        <v>0.1303359454323072</v>
      </c>
      <c r="O37">
        <f ca="1">+C$11+C$12*$F37</f>
        <v>7.3886723836315352E-2</v>
      </c>
      <c r="Q37" s="2">
        <f>+C37-15018.5</f>
        <v>43322.281300000002</v>
      </c>
    </row>
    <row r="38" spans="1:17" x14ac:dyDescent="0.2">
      <c r="A38" s="69" t="s">
        <v>118</v>
      </c>
      <c r="B38" s="70" t="s">
        <v>42</v>
      </c>
      <c r="C38" s="71">
        <v>58765.4643</v>
      </c>
      <c r="D38" s="71">
        <v>2.9999999999999997E-4</v>
      </c>
      <c r="E38">
        <f>+(C38-C$7)/C$8</f>
        <v>7175.2170379716699</v>
      </c>
      <c r="F38">
        <f t="shared" si="1"/>
        <v>7175</v>
      </c>
      <c r="G38">
        <f>+C38-(C$7+F38*C$8)</f>
        <v>0.14334294542641146</v>
      </c>
      <c r="K38">
        <f>+G38</f>
        <v>0.14334294542641146</v>
      </c>
      <c r="O38">
        <f ca="1">+C$11+C$12*$F38</f>
        <v>7.7395204157002462E-2</v>
      </c>
      <c r="Q38" s="2">
        <f>+C38-15018.5</f>
        <v>43746.9643</v>
      </c>
    </row>
    <row r="39" spans="1:17" ht="14.25" customHeight="1" x14ac:dyDescent="0.2">
      <c r="A39" s="72" t="s">
        <v>119</v>
      </c>
      <c r="B39" s="73" t="s">
        <v>42</v>
      </c>
      <c r="C39" s="74">
        <v>58765.4643</v>
      </c>
      <c r="D39" s="75">
        <v>2.9999999999999997E-4</v>
      </c>
      <c r="E39">
        <f t="shared" ref="E39:E40" si="6">+(C39-C$7)/C$8</f>
        <v>7175.2170379716699</v>
      </c>
      <c r="F39">
        <f t="shared" ref="F39:F40" si="7">ROUND(2*E39,0)/2</f>
        <v>7175</v>
      </c>
      <c r="G39">
        <f t="shared" ref="G39:G40" si="8">+C39-(C$7+F39*C$8)</f>
        <v>0.14334294542641146</v>
      </c>
      <c r="K39">
        <f t="shared" ref="K39:K40" si="9">+G39</f>
        <v>0.14334294542641146</v>
      </c>
      <c r="O39">
        <f t="shared" ref="O39:O40" ca="1" si="10">+C$11+C$12*$F39</f>
        <v>7.7395204157002462E-2</v>
      </c>
      <c r="Q39" s="2">
        <f t="shared" ref="Q39:Q40" si="11">+C39-15018.5</f>
        <v>43746.9643</v>
      </c>
    </row>
    <row r="40" spans="1:17" ht="14.25" customHeight="1" x14ac:dyDescent="0.2">
      <c r="A40" s="72" t="s">
        <v>120</v>
      </c>
      <c r="B40" s="73" t="s">
        <v>42</v>
      </c>
      <c r="C40" s="76">
        <v>59559.351799999997</v>
      </c>
      <c r="D40" s="77">
        <v>4.0000000000000002E-4</v>
      </c>
      <c r="E40">
        <f t="shared" si="6"/>
        <v>8377.2554935118951</v>
      </c>
      <c r="F40">
        <f t="shared" si="7"/>
        <v>8377.5</v>
      </c>
      <c r="G40">
        <f t="shared" si="8"/>
        <v>-0.1614845545773278</v>
      </c>
      <c r="K40">
        <f t="shared" si="9"/>
        <v>-0.1614845545773278</v>
      </c>
      <c r="O40">
        <f t="shared" ca="1" si="10"/>
        <v>8.3956553434803793E-2</v>
      </c>
      <c r="Q40" s="2">
        <f t="shared" si="11"/>
        <v>44540.851799999997</v>
      </c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protectedRanges>
    <protectedRange sqref="A37:D38" name="Range1"/>
  </protectedRanges>
  <phoneticPr fontId="7" type="noConversion"/>
  <hyperlinks>
    <hyperlink ref="H64957" r:id="rId1" display="http://vsolj.cetus-net.org/bulletin.html"/>
    <hyperlink ref="H64950" r:id="rId2" display="https://www.aavso.org/ejaavso"/>
    <hyperlink ref="I64957" r:id="rId3" display="http://vsolj.cetus-net.org/bulletin.html"/>
    <hyperlink ref="AQ58607" r:id="rId4" display="http://cdsbib.u-strasbg.fr/cgi-bin/cdsbib?1990RMxAA..21..381G"/>
    <hyperlink ref="H64954" r:id="rId5" display="https://www.aavso.org/ejaavso"/>
    <hyperlink ref="AP5971" r:id="rId6" display="http://cdsbib.u-strasbg.fr/cgi-bin/cdsbib?1990RMxAA..21..381G"/>
    <hyperlink ref="AP5974" r:id="rId7" display="http://cdsbib.u-strasbg.fr/cgi-bin/cdsbib?1990RMxAA..21..381G"/>
    <hyperlink ref="AP5972" r:id="rId8" display="http://cdsbib.u-strasbg.fr/cgi-bin/cdsbib?1990RMxAA..21..381G"/>
    <hyperlink ref="AP5956" r:id="rId9" display="http://cdsbib.u-strasbg.fr/cgi-bin/cdsbib?1990RMxAA..21..381G"/>
    <hyperlink ref="AQ6185" r:id="rId10" display="http://cdsbib.u-strasbg.fr/cgi-bin/cdsbib?1990RMxAA..21..381G"/>
    <hyperlink ref="AQ6189" r:id="rId11" display="http://cdsbib.u-strasbg.fr/cgi-bin/cdsbib?1990RMxAA..21..381G"/>
    <hyperlink ref="AQ694" r:id="rId12" display="http://cdsbib.u-strasbg.fr/cgi-bin/cdsbib?1990RMxAA..21..381G"/>
    <hyperlink ref="I4831" r:id="rId13" display="http://vsolj.cetus-net.org/bulletin.html"/>
    <hyperlink ref="H4831" r:id="rId14" display="http://vsolj.cetus-net.org/bulletin.html"/>
    <hyperlink ref="AQ2257" r:id="rId15" display="http://cdsbib.u-strasbg.fr/cgi-bin/cdsbib?1990RMxAA..21..381G"/>
    <hyperlink ref="AQ2256" r:id="rId16" display="http://cdsbib.u-strasbg.fr/cgi-bin/cdsbib?1990RMxAA..21..381G"/>
    <hyperlink ref="AP2011" r:id="rId17" display="http://cdsbib.u-strasbg.fr/cgi-bin/cdsbib?1990RMxAA..21..381G"/>
    <hyperlink ref="AP2037" r:id="rId18" display="http://cdsbib.u-strasbg.fr/cgi-bin/cdsbib?1990RMxAA..21..381G"/>
    <hyperlink ref="AP2038" r:id="rId19" display="http://cdsbib.u-strasbg.fr/cgi-bin/cdsbib?1990RMxAA..21..381G"/>
    <hyperlink ref="AP203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2"/>
  <sheetViews>
    <sheetView workbookViewId="0">
      <selection activeCell="A18" sqref="A18:D22"/>
    </sheetView>
  </sheetViews>
  <sheetFormatPr defaultRowHeight="12.75" x14ac:dyDescent="0.2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52</v>
      </c>
      <c r="I1" s="41" t="s">
        <v>53</v>
      </c>
      <c r="J1" s="42" t="s">
        <v>54</v>
      </c>
    </row>
    <row r="2" spans="1:16" x14ac:dyDescent="0.2">
      <c r="I2" s="43" t="s">
        <v>55</v>
      </c>
      <c r="J2" s="44" t="s">
        <v>56</v>
      </c>
    </row>
    <row r="3" spans="1:16" x14ac:dyDescent="0.2">
      <c r="A3" s="45" t="s">
        <v>57</v>
      </c>
      <c r="I3" s="43" t="s">
        <v>58</v>
      </c>
      <c r="J3" s="44" t="s">
        <v>59</v>
      </c>
    </row>
    <row r="4" spans="1:16" x14ac:dyDescent="0.2">
      <c r="I4" s="43" t="s">
        <v>60</v>
      </c>
      <c r="J4" s="44" t="s">
        <v>59</v>
      </c>
    </row>
    <row r="5" spans="1:16" ht="13.5" thickBot="1" x14ac:dyDescent="0.25">
      <c r="I5" s="46" t="s">
        <v>61</v>
      </c>
      <c r="J5" s="47" t="s">
        <v>62</v>
      </c>
    </row>
    <row r="10" spans="1:16" ht="13.5" thickBot="1" x14ac:dyDescent="0.25"/>
    <row r="11" spans="1:16" ht="12.75" customHeight="1" thickBot="1" x14ac:dyDescent="0.25">
      <c r="A11" s="10" t="str">
        <f t="shared" ref="A11:A22" si="0">P11</f>
        <v>IBVS 5777 </v>
      </c>
      <c r="B11" s="3" t="str">
        <f t="shared" ref="B11:B22" si="1">IF(H11=INT(H11),"I","II")</f>
        <v>I</v>
      </c>
      <c r="C11" s="10">
        <f t="shared" ref="C11:C22" si="2">1*G11</f>
        <v>53991.590100000001</v>
      </c>
      <c r="D11" s="12" t="str">
        <f t="shared" ref="D11:D22" si="3">VLOOKUP(F11,I$1:J$5,2,FALSE)</f>
        <v>vis</v>
      </c>
      <c r="E11" s="48">
        <f>VLOOKUP(C11,Active!C$21:E$973,3,FALSE)</f>
        <v>-52.986416940198602</v>
      </c>
      <c r="F11" s="3" t="s">
        <v>61</v>
      </c>
      <c r="G11" s="12" t="str">
        <f t="shared" ref="G11:G22" si="4">MID(I11,3,LEN(I11)-3)</f>
        <v>53991.5901</v>
      </c>
      <c r="H11" s="10">
        <f t="shared" ref="H11:H22" si="5">1*K11</f>
        <v>27545</v>
      </c>
      <c r="I11" s="49" t="s">
        <v>80</v>
      </c>
      <c r="J11" s="50" t="s">
        <v>81</v>
      </c>
      <c r="K11" s="49">
        <v>27545</v>
      </c>
      <c r="L11" s="49" t="s">
        <v>82</v>
      </c>
      <c r="M11" s="50" t="s">
        <v>66</v>
      </c>
      <c r="N11" s="50" t="s">
        <v>83</v>
      </c>
      <c r="O11" s="51" t="s">
        <v>84</v>
      </c>
      <c r="P11" s="52" t="s">
        <v>85</v>
      </c>
    </row>
    <row r="12" spans="1:16" ht="12.75" customHeight="1" thickBot="1" x14ac:dyDescent="0.25">
      <c r="A12" s="10" t="str">
        <f t="shared" si="0"/>
        <v>IBVS 5777 </v>
      </c>
      <c r="B12" s="3" t="str">
        <f t="shared" si="1"/>
        <v>I</v>
      </c>
      <c r="C12" s="10">
        <f t="shared" si="2"/>
        <v>54003.469599999997</v>
      </c>
      <c r="D12" s="12" t="str">
        <f t="shared" si="3"/>
        <v>vis</v>
      </c>
      <c r="E12" s="48">
        <f>VLOOKUP(C12,Active!C$21:E$973,3,FALSE)</f>
        <v>-34.999465599379285</v>
      </c>
      <c r="F12" s="3" t="s">
        <v>61</v>
      </c>
      <c r="G12" s="12" t="str">
        <f t="shared" si="4"/>
        <v>54003.4696</v>
      </c>
      <c r="H12" s="10">
        <f t="shared" si="5"/>
        <v>27563</v>
      </c>
      <c r="I12" s="49" t="s">
        <v>86</v>
      </c>
      <c r="J12" s="50" t="s">
        <v>87</v>
      </c>
      <c r="K12" s="49">
        <v>27563</v>
      </c>
      <c r="L12" s="49" t="s">
        <v>88</v>
      </c>
      <c r="M12" s="50" t="s">
        <v>66</v>
      </c>
      <c r="N12" s="50" t="s">
        <v>83</v>
      </c>
      <c r="O12" s="51" t="s">
        <v>84</v>
      </c>
      <c r="P12" s="52" t="s">
        <v>85</v>
      </c>
    </row>
    <row r="13" spans="1:16" ht="12.75" customHeight="1" thickBot="1" x14ac:dyDescent="0.25">
      <c r="A13" s="10" t="str">
        <f t="shared" si="0"/>
        <v>IBVS 5777 </v>
      </c>
      <c r="B13" s="3" t="str">
        <f t="shared" si="1"/>
        <v>I</v>
      </c>
      <c r="C13" s="10">
        <f t="shared" si="2"/>
        <v>54009.415999999997</v>
      </c>
      <c r="D13" s="12" t="str">
        <f t="shared" si="3"/>
        <v>vis</v>
      </c>
      <c r="E13" s="48">
        <f>VLOOKUP(C13,Active!C$21:E$973,3,FALSE)</f>
        <v>-25.995921051788741</v>
      </c>
      <c r="F13" s="3" t="s">
        <v>61</v>
      </c>
      <c r="G13" s="12" t="str">
        <f t="shared" si="4"/>
        <v>54009.4160</v>
      </c>
      <c r="H13" s="10">
        <f t="shared" si="5"/>
        <v>27572</v>
      </c>
      <c r="I13" s="49" t="s">
        <v>89</v>
      </c>
      <c r="J13" s="50" t="s">
        <v>90</v>
      </c>
      <c r="K13" s="49">
        <v>27572</v>
      </c>
      <c r="L13" s="49" t="s">
        <v>91</v>
      </c>
      <c r="M13" s="50" t="s">
        <v>66</v>
      </c>
      <c r="N13" s="50" t="s">
        <v>83</v>
      </c>
      <c r="O13" s="51" t="s">
        <v>84</v>
      </c>
      <c r="P13" s="52" t="s">
        <v>85</v>
      </c>
    </row>
    <row r="14" spans="1:16" ht="12.75" customHeight="1" thickBot="1" x14ac:dyDescent="0.25">
      <c r="A14" s="10" t="str">
        <f t="shared" si="0"/>
        <v>IBVS 5777 </v>
      </c>
      <c r="B14" s="3" t="str">
        <f t="shared" si="1"/>
        <v>I</v>
      </c>
      <c r="C14" s="10">
        <f t="shared" si="2"/>
        <v>54025.270799999998</v>
      </c>
      <c r="D14" s="12" t="str">
        <f t="shared" si="3"/>
        <v>vis</v>
      </c>
      <c r="E14" s="48">
        <f>VLOOKUP(C14,Active!C$21:E$973,3,FALSE)</f>
        <v>-1.9899009231176112</v>
      </c>
      <c r="F14" s="3" t="s">
        <v>61</v>
      </c>
      <c r="G14" s="12" t="str">
        <f t="shared" si="4"/>
        <v>54025.2708</v>
      </c>
      <c r="H14" s="10">
        <f t="shared" si="5"/>
        <v>27596</v>
      </c>
      <c r="I14" s="49" t="s">
        <v>92</v>
      </c>
      <c r="J14" s="50" t="s">
        <v>93</v>
      </c>
      <c r="K14" s="49">
        <v>27596</v>
      </c>
      <c r="L14" s="49" t="s">
        <v>94</v>
      </c>
      <c r="M14" s="50" t="s">
        <v>66</v>
      </c>
      <c r="N14" s="50" t="s">
        <v>83</v>
      </c>
      <c r="O14" s="51" t="s">
        <v>84</v>
      </c>
      <c r="P14" s="52" t="s">
        <v>85</v>
      </c>
    </row>
    <row r="15" spans="1:16" ht="12.75" customHeight="1" thickBot="1" x14ac:dyDescent="0.25">
      <c r="A15" s="10" t="str">
        <f t="shared" si="0"/>
        <v>IBVS 5777 </v>
      </c>
      <c r="B15" s="3" t="str">
        <f t="shared" si="1"/>
        <v>I</v>
      </c>
      <c r="C15" s="10">
        <f t="shared" si="2"/>
        <v>54026.580399999999</v>
      </c>
      <c r="D15" s="12" t="str">
        <f t="shared" si="3"/>
        <v>vis</v>
      </c>
      <c r="E15" s="48">
        <f>VLOOKUP(C15,Active!C$21:E$973,3,FALSE)</f>
        <v>-7.0134719660487161E-3</v>
      </c>
      <c r="F15" s="3" t="s">
        <v>61</v>
      </c>
      <c r="G15" s="12" t="str">
        <f t="shared" si="4"/>
        <v>54026.5804</v>
      </c>
      <c r="H15" s="10">
        <f t="shared" si="5"/>
        <v>27598</v>
      </c>
      <c r="I15" s="49" t="s">
        <v>95</v>
      </c>
      <c r="J15" s="50" t="s">
        <v>96</v>
      </c>
      <c r="K15" s="49">
        <v>27598</v>
      </c>
      <c r="L15" s="49" t="s">
        <v>97</v>
      </c>
      <c r="M15" s="50" t="s">
        <v>66</v>
      </c>
      <c r="N15" s="50" t="s">
        <v>83</v>
      </c>
      <c r="O15" s="51" t="s">
        <v>84</v>
      </c>
      <c r="P15" s="52" t="s">
        <v>85</v>
      </c>
    </row>
    <row r="16" spans="1:16" ht="12.75" customHeight="1" thickBot="1" x14ac:dyDescent="0.25">
      <c r="A16" s="10" t="str">
        <f t="shared" si="0"/>
        <v>IBVS 5871 </v>
      </c>
      <c r="B16" s="3" t="str">
        <f t="shared" si="1"/>
        <v>I</v>
      </c>
      <c r="C16" s="10">
        <f t="shared" si="2"/>
        <v>54792.711000000003</v>
      </c>
      <c r="D16" s="12" t="str">
        <f t="shared" si="3"/>
        <v>vis</v>
      </c>
      <c r="E16" s="48">
        <f>VLOOKUP(C16,Active!C$21:E$973,3,FALSE)</f>
        <v>1160.0042515575426</v>
      </c>
      <c r="F16" s="3" t="s">
        <v>61</v>
      </c>
      <c r="G16" s="12" t="str">
        <f t="shared" si="4"/>
        <v>54792.711</v>
      </c>
      <c r="H16" s="10">
        <f t="shared" si="5"/>
        <v>28758</v>
      </c>
      <c r="I16" s="49" t="s">
        <v>98</v>
      </c>
      <c r="J16" s="50" t="s">
        <v>99</v>
      </c>
      <c r="K16" s="49">
        <v>28758</v>
      </c>
      <c r="L16" s="49" t="s">
        <v>100</v>
      </c>
      <c r="M16" s="50" t="s">
        <v>66</v>
      </c>
      <c r="N16" s="50" t="s">
        <v>61</v>
      </c>
      <c r="O16" s="51" t="s">
        <v>101</v>
      </c>
      <c r="P16" s="52" t="s">
        <v>102</v>
      </c>
    </row>
    <row r="17" spans="1:16" ht="12.75" customHeight="1" thickBot="1" x14ac:dyDescent="0.25">
      <c r="A17" s="10" t="str">
        <f t="shared" si="0"/>
        <v>IBVS 5929 </v>
      </c>
      <c r="B17" s="3" t="str">
        <f t="shared" si="1"/>
        <v>I</v>
      </c>
      <c r="C17" s="10">
        <f t="shared" si="2"/>
        <v>55109.745000000003</v>
      </c>
      <c r="D17" s="12" t="str">
        <f t="shared" si="3"/>
        <v>vis</v>
      </c>
      <c r="E17" s="48">
        <f>VLOOKUP(C17,Active!C$21:E$973,3,FALSE)</f>
        <v>1640.0307788850805</v>
      </c>
      <c r="F17" s="3" t="s">
        <v>61</v>
      </c>
      <c r="G17" s="12" t="str">
        <f t="shared" si="4"/>
        <v>55109.745</v>
      </c>
      <c r="H17" s="10">
        <f t="shared" si="5"/>
        <v>29238</v>
      </c>
      <c r="I17" s="49" t="s">
        <v>103</v>
      </c>
      <c r="J17" s="50" t="s">
        <v>104</v>
      </c>
      <c r="K17" s="49">
        <v>29238</v>
      </c>
      <c r="L17" s="49" t="s">
        <v>105</v>
      </c>
      <c r="M17" s="50" t="s">
        <v>66</v>
      </c>
      <c r="N17" s="50" t="s">
        <v>53</v>
      </c>
      <c r="O17" s="51" t="s">
        <v>106</v>
      </c>
      <c r="P17" s="52" t="s">
        <v>107</v>
      </c>
    </row>
    <row r="18" spans="1:16" ht="12.75" customHeight="1" thickBot="1" x14ac:dyDescent="0.25">
      <c r="A18" s="10" t="str">
        <f t="shared" si="0"/>
        <v>OEJV 0074 </v>
      </c>
      <c r="B18" s="3" t="str">
        <f t="shared" si="1"/>
        <v>I</v>
      </c>
      <c r="C18" s="10">
        <f t="shared" si="2"/>
        <v>51780.489699999998</v>
      </c>
      <c r="D18" s="12" t="str">
        <f t="shared" si="3"/>
        <v>vis</v>
      </c>
      <c r="E18" s="48">
        <f>VLOOKUP(C18,Active!C$21:E$973,3,FALSE)</f>
        <v>-3400.8508308028513</v>
      </c>
      <c r="F18" s="3" t="s">
        <v>61</v>
      </c>
      <c r="G18" s="12" t="str">
        <f t="shared" si="4"/>
        <v>51780.4897</v>
      </c>
      <c r="H18" s="10">
        <f t="shared" si="5"/>
        <v>24197</v>
      </c>
      <c r="I18" s="49" t="s">
        <v>63</v>
      </c>
      <c r="J18" s="50" t="s">
        <v>64</v>
      </c>
      <c r="K18" s="49">
        <v>24197</v>
      </c>
      <c r="L18" s="49" t="s">
        <v>65</v>
      </c>
      <c r="M18" s="50" t="s">
        <v>66</v>
      </c>
      <c r="N18" s="50" t="s">
        <v>67</v>
      </c>
      <c r="O18" s="51" t="s">
        <v>68</v>
      </c>
      <c r="P18" s="52" t="s">
        <v>69</v>
      </c>
    </row>
    <row r="19" spans="1:16" ht="12.75" customHeight="1" thickBot="1" x14ac:dyDescent="0.25">
      <c r="A19" s="10" t="str">
        <f t="shared" si="0"/>
        <v>OEJV 0074 </v>
      </c>
      <c r="B19" s="3" t="str">
        <f t="shared" si="1"/>
        <v>II</v>
      </c>
      <c r="C19" s="10">
        <f t="shared" si="2"/>
        <v>51783.328600000001</v>
      </c>
      <c r="D19" s="12" t="str">
        <f t="shared" si="3"/>
        <v>vis</v>
      </c>
      <c r="E19" s="48">
        <f>VLOOKUP(C19,Active!C$21:E$973,3,FALSE)</f>
        <v>-3396.5524044245094</v>
      </c>
      <c r="F19" s="3" t="s">
        <v>61</v>
      </c>
      <c r="G19" s="12" t="str">
        <f t="shared" si="4"/>
        <v>51783.3286</v>
      </c>
      <c r="H19" s="10">
        <f t="shared" si="5"/>
        <v>24201.5</v>
      </c>
      <c r="I19" s="49" t="s">
        <v>70</v>
      </c>
      <c r="J19" s="50" t="s">
        <v>71</v>
      </c>
      <c r="K19" s="49">
        <v>24201.5</v>
      </c>
      <c r="L19" s="49" t="s">
        <v>72</v>
      </c>
      <c r="M19" s="50" t="s">
        <v>66</v>
      </c>
      <c r="N19" s="50" t="s">
        <v>67</v>
      </c>
      <c r="O19" s="51" t="s">
        <v>68</v>
      </c>
      <c r="P19" s="52" t="s">
        <v>69</v>
      </c>
    </row>
    <row r="20" spans="1:16" ht="12.75" customHeight="1" thickBot="1" x14ac:dyDescent="0.25">
      <c r="A20" s="10" t="str">
        <f t="shared" si="0"/>
        <v>OEJV 0074 </v>
      </c>
      <c r="B20" s="3" t="str">
        <f t="shared" si="1"/>
        <v>I</v>
      </c>
      <c r="C20" s="10">
        <f t="shared" si="2"/>
        <v>51898.409800000001</v>
      </c>
      <c r="D20" s="12" t="str">
        <f t="shared" si="3"/>
        <v>vis</v>
      </c>
      <c r="E20" s="48">
        <f>VLOOKUP(C20,Active!C$21:E$973,3,FALSE)</f>
        <v>-3222.3060182429449</v>
      </c>
      <c r="F20" s="3" t="s">
        <v>61</v>
      </c>
      <c r="G20" s="12" t="str">
        <f t="shared" si="4"/>
        <v>51898.4098</v>
      </c>
      <c r="H20" s="10">
        <f t="shared" si="5"/>
        <v>24376</v>
      </c>
      <c r="I20" s="49" t="s">
        <v>73</v>
      </c>
      <c r="J20" s="50" t="s">
        <v>74</v>
      </c>
      <c r="K20" s="49">
        <v>24376</v>
      </c>
      <c r="L20" s="49" t="s">
        <v>75</v>
      </c>
      <c r="M20" s="50" t="s">
        <v>66</v>
      </c>
      <c r="N20" s="50" t="s">
        <v>67</v>
      </c>
      <c r="O20" s="51" t="s">
        <v>68</v>
      </c>
      <c r="P20" s="52" t="s">
        <v>69</v>
      </c>
    </row>
    <row r="21" spans="1:16" ht="12.75" customHeight="1" thickBot="1" x14ac:dyDescent="0.25">
      <c r="A21" s="10" t="str">
        <f t="shared" si="0"/>
        <v>OEJV 0074 </v>
      </c>
      <c r="B21" s="3" t="str">
        <f t="shared" si="1"/>
        <v>I</v>
      </c>
      <c r="C21" s="10">
        <f t="shared" si="2"/>
        <v>52857.402199999997</v>
      </c>
      <c r="D21" s="12" t="str">
        <f t="shared" si="3"/>
        <v>vis</v>
      </c>
      <c r="E21" s="48">
        <f>VLOOKUP(C21,Active!C$21:E$973,3,FALSE)</f>
        <v>-1770.2794485201409</v>
      </c>
      <c r="F21" s="3" t="s">
        <v>61</v>
      </c>
      <c r="G21" s="12" t="str">
        <f t="shared" si="4"/>
        <v>52857.4022</v>
      </c>
      <c r="H21" s="10">
        <f t="shared" si="5"/>
        <v>25828</v>
      </c>
      <c r="I21" s="49" t="s">
        <v>76</v>
      </c>
      <c r="J21" s="50" t="s">
        <v>77</v>
      </c>
      <c r="K21" s="49">
        <v>25828</v>
      </c>
      <c r="L21" s="49" t="s">
        <v>78</v>
      </c>
      <c r="M21" s="50" t="s">
        <v>66</v>
      </c>
      <c r="N21" s="50" t="s">
        <v>67</v>
      </c>
      <c r="O21" s="51" t="s">
        <v>79</v>
      </c>
      <c r="P21" s="52" t="s">
        <v>69</v>
      </c>
    </row>
    <row r="22" spans="1:16" ht="12.75" customHeight="1" thickBot="1" x14ac:dyDescent="0.25">
      <c r="A22" s="10" t="str">
        <f t="shared" si="0"/>
        <v>BAVM 225 </v>
      </c>
      <c r="B22" s="3" t="str">
        <f t="shared" si="1"/>
        <v>I</v>
      </c>
      <c r="C22" s="10">
        <f t="shared" si="2"/>
        <v>55857.408900000002</v>
      </c>
      <c r="D22" s="12" t="str">
        <f t="shared" si="3"/>
        <v>vis</v>
      </c>
      <c r="E22" s="48">
        <f>VLOOKUP(C22,Active!C$21:E$973,3,FALSE)</f>
        <v>2772.081301936752</v>
      </c>
      <c r="F22" s="3" t="s">
        <v>61</v>
      </c>
      <c r="G22" s="12" t="str">
        <f t="shared" si="4"/>
        <v>55857.4089</v>
      </c>
      <c r="H22" s="10">
        <f t="shared" si="5"/>
        <v>30370</v>
      </c>
      <c r="I22" s="49" t="s">
        <v>108</v>
      </c>
      <c r="J22" s="50" t="s">
        <v>109</v>
      </c>
      <c r="K22" s="49">
        <v>30370</v>
      </c>
      <c r="L22" s="49" t="s">
        <v>110</v>
      </c>
      <c r="M22" s="50" t="s">
        <v>66</v>
      </c>
      <c r="N22" s="50" t="s">
        <v>111</v>
      </c>
      <c r="O22" s="51" t="s">
        <v>112</v>
      </c>
      <c r="P22" s="52" t="s">
        <v>113</v>
      </c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</sheetData>
  <phoneticPr fontId="7" type="noConversion"/>
  <hyperlinks>
    <hyperlink ref="A3" r:id="rId1"/>
    <hyperlink ref="P18" r:id="rId2" display="http://var.astro.cz/oejv/issues/oejv0074.pdf"/>
    <hyperlink ref="P19" r:id="rId3" display="http://var.astro.cz/oejv/issues/oejv0074.pdf"/>
    <hyperlink ref="P20" r:id="rId4" display="http://var.astro.cz/oejv/issues/oejv0074.pdf"/>
    <hyperlink ref="P21" r:id="rId5" display="http://var.astro.cz/oejv/issues/oejv0074.pdf"/>
    <hyperlink ref="P11" r:id="rId6" display="http://www.konkoly.hu/cgi-bin/IBVS?5777"/>
    <hyperlink ref="P12" r:id="rId7" display="http://www.konkoly.hu/cgi-bin/IBVS?5777"/>
    <hyperlink ref="P13" r:id="rId8" display="http://www.konkoly.hu/cgi-bin/IBVS?5777"/>
    <hyperlink ref="P14" r:id="rId9" display="http://www.konkoly.hu/cgi-bin/IBVS?5777"/>
    <hyperlink ref="P15" r:id="rId10" display="http://www.konkoly.hu/cgi-bin/IBVS?5777"/>
    <hyperlink ref="P16" r:id="rId11" display="http://www.konkoly.hu/cgi-bin/IBVS?5871"/>
    <hyperlink ref="P17" r:id="rId12" display="http://www.konkoly.hu/cgi-bin/IBVS?5929"/>
    <hyperlink ref="P22" r:id="rId13" display="http://www.bav-astro.de/sfs/BAVM_link.php?BAVMnr=225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7"/>
  <sheetViews>
    <sheetView workbookViewId="0">
      <selection activeCell="G28" sqref="G2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26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2</v>
      </c>
      <c r="C4" s="8">
        <v>35799.247000000003</v>
      </c>
      <c r="D4" s="9">
        <v>0.6604565</v>
      </c>
    </row>
    <row r="6" spans="1:7" x14ac:dyDescent="0.2">
      <c r="A6" s="5" t="s">
        <v>3</v>
      </c>
    </row>
    <row r="7" spans="1:7" x14ac:dyDescent="0.2">
      <c r="A7" t="s">
        <v>4</v>
      </c>
      <c r="C7">
        <v>54026.585032054572</v>
      </c>
    </row>
    <row r="8" spans="1:7" x14ac:dyDescent="0.2">
      <c r="A8" t="s">
        <v>5</v>
      </c>
      <c r="C8">
        <v>0.66032982993865208</v>
      </c>
    </row>
    <row r="9" spans="1:7" x14ac:dyDescent="0.2">
      <c r="A9" s="11" t="s">
        <v>33</v>
      </c>
      <c r="B9" s="12"/>
      <c r="C9" s="13">
        <v>8</v>
      </c>
      <c r="D9" s="12" t="s">
        <v>34</v>
      </c>
      <c r="E9" s="12"/>
    </row>
    <row r="10" spans="1:7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7" x14ac:dyDescent="0.2">
      <c r="A11" s="12" t="s">
        <v>18</v>
      </c>
      <c r="B11" s="12"/>
      <c r="C11" s="29">
        <f ca="1">INTERCEPT(INDIRECT($G$11):G975,INDIRECT($F$11):F975)</f>
        <v>8.2166093516996153E-3</v>
      </c>
      <c r="D11" s="3"/>
      <c r="E11" s="12"/>
      <c r="F11" s="30" t="str">
        <f>"F"&amp;E19</f>
        <v>F22</v>
      </c>
      <c r="G11" s="31" t="str">
        <f>"G"&amp;E19</f>
        <v>G22</v>
      </c>
    </row>
    <row r="12" spans="1:7" x14ac:dyDescent="0.2">
      <c r="A12" s="12" t="s">
        <v>19</v>
      </c>
      <c r="B12" s="12"/>
      <c r="C12" s="29">
        <f ca="1">SLOPE(INDIRECT($G$11):G975,INDIRECT($F$11):F975)</f>
        <v>-9.4129699306982723E-6</v>
      </c>
      <c r="D12" s="3"/>
      <c r="E12" s="12"/>
    </row>
    <row r="13" spans="1:7" x14ac:dyDescent="0.2">
      <c r="A13" s="12" t="s">
        <v>21</v>
      </c>
      <c r="B13" s="12"/>
      <c r="C13" s="3" t="s">
        <v>16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20</v>
      </c>
      <c r="B15" s="12"/>
      <c r="C15" s="15">
        <f ca="1">(C7+C11)+(C8+C12)*INT(MAX(F21:F3516))</f>
        <v>55109.518732492623</v>
      </c>
      <c r="D15" s="16" t="s">
        <v>35</v>
      </c>
      <c r="E15" s="17">
        <f ca="1">TODAY()+15018.5-B9/24</f>
        <v>59912.5</v>
      </c>
    </row>
    <row r="16" spans="1:7" x14ac:dyDescent="0.2">
      <c r="A16" s="18" t="s">
        <v>6</v>
      </c>
      <c r="B16" s="12"/>
      <c r="C16" s="19">
        <f ca="1">+C8+C12</f>
        <v>0.66032041696872135</v>
      </c>
      <c r="D16" s="16" t="s">
        <v>36</v>
      </c>
      <c r="E16" s="17">
        <f ca="1">ROUND(2*(E15-C15)/C16,0)/2+1</f>
        <v>7274.5</v>
      </c>
    </row>
    <row r="17" spans="1:17" ht="13.5" thickBot="1" x14ac:dyDescent="0.25">
      <c r="A17" s="16" t="s">
        <v>32</v>
      </c>
      <c r="B17" s="12"/>
      <c r="C17" s="12">
        <f>COUNT(C21:C2174)</f>
        <v>8</v>
      </c>
      <c r="D17" s="16" t="s">
        <v>37</v>
      </c>
      <c r="E17" s="20">
        <f ca="1">+C15+C16*E16-15018.5-C9/24</f>
        <v>44894.186272398249</v>
      </c>
    </row>
    <row r="18" spans="1:17" ht="14.25" thickTop="1" thickBot="1" x14ac:dyDescent="0.25">
      <c r="A18" s="18" t="s">
        <v>7</v>
      </c>
      <c r="B18" s="12"/>
      <c r="C18" s="21">
        <f ca="1">+C15</f>
        <v>55109.518732492623</v>
      </c>
      <c r="D18" s="22">
        <f ca="1">+C16</f>
        <v>0.66032041696872135</v>
      </c>
      <c r="E18" s="23" t="s">
        <v>38</v>
      </c>
    </row>
    <row r="19" spans="1:17" ht="13.5" thickTop="1" x14ac:dyDescent="0.2">
      <c r="A19" s="32" t="s">
        <v>45</v>
      </c>
      <c r="E19" s="33">
        <v>22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14</v>
      </c>
      <c r="I20" s="7" t="s">
        <v>31</v>
      </c>
      <c r="J20" s="7" t="s">
        <v>47</v>
      </c>
      <c r="K20" s="7" t="s">
        <v>27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17</v>
      </c>
    </row>
    <row r="21" spans="1:17" x14ac:dyDescent="0.2">
      <c r="A21" t="s">
        <v>14</v>
      </c>
      <c r="C21" s="10">
        <v>35799.247000000003</v>
      </c>
      <c r="D21" s="10" t="s">
        <v>16</v>
      </c>
      <c r="E21">
        <f t="shared" ref="E21:E27" si="0">+(C21-C$7)/C$8</f>
        <v>-27603.384256846279</v>
      </c>
      <c r="F21">
        <f t="shared" ref="F21:F28" si="1">ROUND(2*E21,0)/2</f>
        <v>-27603.5</v>
      </c>
      <c r="H21">
        <v>0</v>
      </c>
      <c r="Q21" s="2">
        <f t="shared" ref="Q21:Q27" si="2">+C21-15018.5</f>
        <v>20780.747000000003</v>
      </c>
    </row>
    <row r="22" spans="1:17" x14ac:dyDescent="0.2">
      <c r="A22" s="24" t="s">
        <v>41</v>
      </c>
      <c r="B22" s="25" t="s">
        <v>42</v>
      </c>
      <c r="C22" s="26">
        <v>53991.590100000001</v>
      </c>
      <c r="D22" s="26">
        <v>2.0000000000000001E-4</v>
      </c>
      <c r="E22">
        <f t="shared" si="0"/>
        <v>-52.996139910599389</v>
      </c>
      <c r="F22">
        <f t="shared" si="1"/>
        <v>-53</v>
      </c>
      <c r="G22">
        <f t="shared" ref="G22:G28" si="3">+C22-(C$7+F22*C$8)</f>
        <v>2.5489321778877638E-3</v>
      </c>
      <c r="I22">
        <f t="shared" ref="I22:I27" si="4">+G22</f>
        <v>2.5489321778877638E-3</v>
      </c>
      <c r="O22">
        <f t="shared" ref="O22:O27" ca="1" si="5">+C$11+C$12*$F22</f>
        <v>8.7154967580266238E-3</v>
      </c>
      <c r="Q22" s="2">
        <f t="shared" si="2"/>
        <v>38973.090100000001</v>
      </c>
    </row>
    <row r="23" spans="1:17" x14ac:dyDescent="0.2">
      <c r="A23" s="24" t="s">
        <v>41</v>
      </c>
      <c r="B23" s="25" t="s">
        <v>42</v>
      </c>
      <c r="C23" s="26">
        <v>54003.469599999997</v>
      </c>
      <c r="D23" s="26">
        <v>1E-4</v>
      </c>
      <c r="E23">
        <f t="shared" si="0"/>
        <v>-35.005887976805752</v>
      </c>
      <c r="F23">
        <f t="shared" si="1"/>
        <v>-35</v>
      </c>
      <c r="G23">
        <f t="shared" si="3"/>
        <v>-3.8880067222635262E-3</v>
      </c>
      <c r="I23">
        <f t="shared" si="4"/>
        <v>-3.8880067222635262E-3</v>
      </c>
      <c r="O23">
        <f t="shared" ca="1" si="5"/>
        <v>8.5460632992740548E-3</v>
      </c>
      <c r="Q23" s="2">
        <f t="shared" si="2"/>
        <v>38984.969599999997</v>
      </c>
    </row>
    <row r="24" spans="1:17" x14ac:dyDescent="0.2">
      <c r="A24" s="24" t="s">
        <v>41</v>
      </c>
      <c r="B24" s="25" t="s">
        <v>42</v>
      </c>
      <c r="C24" s="26">
        <v>54009.415999999997</v>
      </c>
      <c r="D24" s="26">
        <v>2.0000000000000001E-4</v>
      </c>
      <c r="E24">
        <f t="shared" si="0"/>
        <v>-26.000691285096138</v>
      </c>
      <c r="F24">
        <f t="shared" si="1"/>
        <v>-26</v>
      </c>
      <c r="G24">
        <f t="shared" si="3"/>
        <v>-4.564761693472974E-4</v>
      </c>
      <c r="I24">
        <f t="shared" si="4"/>
        <v>-4.564761693472974E-4</v>
      </c>
      <c r="O24">
        <f t="shared" ca="1" si="5"/>
        <v>8.4613465698977711E-3</v>
      </c>
      <c r="Q24" s="2">
        <f t="shared" si="2"/>
        <v>38990.915999999997</v>
      </c>
    </row>
    <row r="25" spans="1:17" x14ac:dyDescent="0.2">
      <c r="A25" s="24" t="s">
        <v>41</v>
      </c>
      <c r="B25" s="25" t="s">
        <v>43</v>
      </c>
      <c r="C25" s="26">
        <v>54025.270799999998</v>
      </c>
      <c r="D25" s="26">
        <v>1E-4</v>
      </c>
      <c r="E25">
        <f t="shared" si="0"/>
        <v>-1.9902660685434248</v>
      </c>
      <c r="F25">
        <f t="shared" si="1"/>
        <v>-2</v>
      </c>
      <c r="G25">
        <f t="shared" si="3"/>
        <v>6.4276053017238155E-3</v>
      </c>
      <c r="I25">
        <f t="shared" si="4"/>
        <v>6.4276053017238155E-3</v>
      </c>
      <c r="O25">
        <f t="shared" ca="1" si="5"/>
        <v>8.2354352915610125E-3</v>
      </c>
      <c r="Q25" s="2">
        <f t="shared" si="2"/>
        <v>39006.770799999998</v>
      </c>
    </row>
    <row r="26" spans="1:17" x14ac:dyDescent="0.2">
      <c r="A26" s="24" t="s">
        <v>41</v>
      </c>
      <c r="B26" s="25" t="s">
        <v>42</v>
      </c>
      <c r="C26" s="26">
        <v>54026.580399999999</v>
      </c>
      <c r="D26" s="26">
        <v>1E-4</v>
      </c>
      <c r="E26">
        <f t="shared" si="0"/>
        <v>-7.0147589332427724E-3</v>
      </c>
      <c r="F26">
        <f t="shared" si="1"/>
        <v>0</v>
      </c>
      <c r="G26">
        <f t="shared" si="3"/>
        <v>-4.6320545734488405E-3</v>
      </c>
      <c r="I26">
        <f t="shared" si="4"/>
        <v>-4.6320545734488405E-3</v>
      </c>
      <c r="O26">
        <f t="shared" ca="1" si="5"/>
        <v>8.2166093516996153E-3</v>
      </c>
      <c r="Q26" s="2">
        <f t="shared" si="2"/>
        <v>39008.080399999999</v>
      </c>
    </row>
    <row r="27" spans="1:17" x14ac:dyDescent="0.2">
      <c r="A27" s="27" t="s">
        <v>44</v>
      </c>
      <c r="B27" s="28" t="s">
        <v>42</v>
      </c>
      <c r="C27" s="27">
        <v>54792.711000000003</v>
      </c>
      <c r="D27" s="27">
        <v>3.0000000000000001E-3</v>
      </c>
      <c r="E27">
        <f t="shared" si="0"/>
        <v>1160.2171115253229</v>
      </c>
      <c r="F27">
        <f t="shared" si="1"/>
        <v>1160</v>
      </c>
      <c r="G27">
        <f t="shared" si="3"/>
        <v>0.14336521659424761</v>
      </c>
      <c r="I27">
        <f t="shared" si="4"/>
        <v>0.14336521659424761</v>
      </c>
      <c r="O27">
        <f t="shared" ca="1" si="5"/>
        <v>-2.7024357679103807E-3</v>
      </c>
      <c r="Q27" s="2">
        <f t="shared" si="2"/>
        <v>39774.211000000003</v>
      </c>
    </row>
    <row r="28" spans="1:17" x14ac:dyDescent="0.2">
      <c r="A28" s="34" t="s">
        <v>46</v>
      </c>
      <c r="C28" s="10">
        <v>55109.745000000003</v>
      </c>
      <c r="D28" s="10">
        <v>1E-3</v>
      </c>
      <c r="E28">
        <f>+(C28-C$7)/C$8</f>
        <v>1640.3317233844505</v>
      </c>
      <c r="F28">
        <f t="shared" si="1"/>
        <v>1640.5</v>
      </c>
      <c r="G28">
        <f t="shared" si="3"/>
        <v>-0.11111806892586173</v>
      </c>
      <c r="J28">
        <f>+G28</f>
        <v>-0.11111806892586173</v>
      </c>
      <c r="O28">
        <f ca="1">+C$11+C$12*$F28</f>
        <v>-7.2253678196108999E-3</v>
      </c>
      <c r="Q28" s="2">
        <f>+C28-15018.5</f>
        <v>40091.245000000003</v>
      </c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2022-11-29T03:52:50Z</dcterms:modified>
</cp:coreProperties>
</file>