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7FEA04D-3C85-44E7-9B8F-46D9A6B7D286}" xr6:coauthVersionLast="47" xr6:coauthVersionMax="47" xr10:uidLastSave="{00000000-0000-0000-0000-000000000000}"/>
  <bookViews>
    <workbookView xWindow="14115" yWindow="30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7" i="2" l="1"/>
  <c r="Q58" i="2"/>
  <c r="Q59" i="2"/>
  <c r="Q60" i="2"/>
  <c r="E56" i="2"/>
  <c r="F56" i="2" s="1"/>
  <c r="G56" i="2" s="1"/>
  <c r="K56" i="2" s="1"/>
  <c r="Q56" i="2"/>
  <c r="E54" i="2"/>
  <c r="F54" i="2" s="1"/>
  <c r="G54" i="2" s="1"/>
  <c r="K54" i="2" s="1"/>
  <c r="D9" i="2"/>
  <c r="C9" i="2"/>
  <c r="Q55" i="2"/>
  <c r="Q54" i="2"/>
  <c r="E51" i="2"/>
  <c r="F51" i="2" s="1"/>
  <c r="G51" i="2" s="1"/>
  <c r="K51" i="2" s="1"/>
  <c r="E52" i="2"/>
  <c r="F52" i="2" s="1"/>
  <c r="G52" i="2" s="1"/>
  <c r="K52" i="2" s="1"/>
  <c r="E53" i="2"/>
  <c r="F53" i="2" s="1"/>
  <c r="G53" i="2" s="1"/>
  <c r="K53" i="2" s="1"/>
  <c r="Q51" i="2"/>
  <c r="Q52" i="2"/>
  <c r="Q53" i="2"/>
  <c r="C7" i="2"/>
  <c r="E58" i="2" s="1"/>
  <c r="F58" i="2" s="1"/>
  <c r="G58" i="2" s="1"/>
  <c r="K58" i="2" s="1"/>
  <c r="E55" i="2"/>
  <c r="F55" i="2" s="1"/>
  <c r="G55" i="2" s="1"/>
  <c r="K55" i="2" s="1"/>
  <c r="E28" i="2"/>
  <c r="F28" i="2" s="1"/>
  <c r="G28" i="2" s="1"/>
  <c r="K28" i="2" s="1"/>
  <c r="E42" i="2"/>
  <c r="F42" i="2" s="1"/>
  <c r="G42" i="2" s="1"/>
  <c r="K42" i="2" s="1"/>
  <c r="E47" i="2"/>
  <c r="F47" i="2" s="1"/>
  <c r="G47" i="2" s="1"/>
  <c r="K47" i="2" s="1"/>
  <c r="E49" i="2"/>
  <c r="F49" i="2" s="1"/>
  <c r="G49" i="2" s="1"/>
  <c r="K49" i="2" s="1"/>
  <c r="E50" i="2"/>
  <c r="F50" i="2" s="1"/>
  <c r="G50" i="2" s="1"/>
  <c r="K50" i="2" s="1"/>
  <c r="E48" i="2"/>
  <c r="F48" i="2" s="1"/>
  <c r="G48" i="2" s="1"/>
  <c r="K48" i="2" s="1"/>
  <c r="E27" i="2"/>
  <c r="E14" i="3" s="1"/>
  <c r="E30" i="2"/>
  <c r="E18" i="3" s="1"/>
  <c r="E31" i="2"/>
  <c r="E19" i="3" s="1"/>
  <c r="E34" i="2"/>
  <c r="F34" i="2" s="1"/>
  <c r="G34" i="2" s="1"/>
  <c r="K34" i="2" s="1"/>
  <c r="E35" i="2"/>
  <c r="E21" i="3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3" i="2"/>
  <c r="F43" i="2" s="1"/>
  <c r="G43" i="2" s="1"/>
  <c r="K43" i="2" s="1"/>
  <c r="E44" i="2"/>
  <c r="F44" i="2" s="1"/>
  <c r="G44" i="2" s="1"/>
  <c r="K44" i="2" s="1"/>
  <c r="E45" i="2"/>
  <c r="F45" i="2" s="1"/>
  <c r="G45" i="2" s="1"/>
  <c r="K45" i="2" s="1"/>
  <c r="E46" i="2"/>
  <c r="E26" i="3" s="1"/>
  <c r="E29" i="2"/>
  <c r="F29" i="2" s="1"/>
  <c r="E32" i="2"/>
  <c r="F32" i="2" s="1"/>
  <c r="E33" i="2"/>
  <c r="F33" i="2" s="1"/>
  <c r="E36" i="2"/>
  <c r="F36" i="2" s="1"/>
  <c r="E41" i="2"/>
  <c r="F41" i="2" s="1"/>
  <c r="U41" i="2" s="1"/>
  <c r="Q28" i="2"/>
  <c r="Q42" i="2"/>
  <c r="Q47" i="2"/>
  <c r="Q49" i="2"/>
  <c r="Q50" i="2"/>
  <c r="Q48" i="2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1" i="2"/>
  <c r="F21" i="2" s="1"/>
  <c r="G21" i="2" s="1"/>
  <c r="H21" i="2" s="1"/>
  <c r="E26" i="2"/>
  <c r="E13" i="3" s="1"/>
  <c r="Q30" i="2"/>
  <c r="Q31" i="2"/>
  <c r="Q34" i="2"/>
  <c r="Q35" i="2"/>
  <c r="Q38" i="2"/>
  <c r="Q40" i="2"/>
  <c r="Q41" i="2"/>
  <c r="Q43" i="2"/>
  <c r="Q46" i="2"/>
  <c r="G12" i="3"/>
  <c r="C12" i="3"/>
  <c r="G13" i="3"/>
  <c r="C13" i="3"/>
  <c r="G14" i="3"/>
  <c r="C14" i="3"/>
  <c r="G18" i="3"/>
  <c r="C18" i="3"/>
  <c r="G19" i="3"/>
  <c r="C19" i="3"/>
  <c r="G20" i="3"/>
  <c r="C20" i="3"/>
  <c r="E20" i="3"/>
  <c r="G21" i="3"/>
  <c r="C21" i="3"/>
  <c r="G15" i="3"/>
  <c r="C15" i="3"/>
  <c r="G22" i="3"/>
  <c r="C22" i="3"/>
  <c r="E22" i="3"/>
  <c r="G16" i="3"/>
  <c r="C16" i="3"/>
  <c r="E16" i="3"/>
  <c r="G23" i="3"/>
  <c r="C23" i="3"/>
  <c r="G24" i="3"/>
  <c r="C24" i="3"/>
  <c r="G25" i="3"/>
  <c r="C25" i="3"/>
  <c r="E25" i="3"/>
  <c r="G17" i="3"/>
  <c r="C17" i="3"/>
  <c r="E17" i="3"/>
  <c r="G26" i="3"/>
  <c r="C26" i="3"/>
  <c r="G11" i="3"/>
  <c r="C11" i="3"/>
  <c r="H26" i="3"/>
  <c r="D26" i="3"/>
  <c r="B26" i="3"/>
  <c r="A26" i="3"/>
  <c r="H17" i="3"/>
  <c r="B17" i="3"/>
  <c r="D17" i="3"/>
  <c r="A17" i="3"/>
  <c r="H25" i="3"/>
  <c r="D25" i="3"/>
  <c r="B25" i="3"/>
  <c r="A25" i="3"/>
  <c r="H24" i="3"/>
  <c r="B24" i="3"/>
  <c r="D24" i="3"/>
  <c r="A24" i="3"/>
  <c r="H23" i="3"/>
  <c r="D23" i="3"/>
  <c r="B23" i="3"/>
  <c r="A23" i="3"/>
  <c r="H16" i="3"/>
  <c r="B16" i="3"/>
  <c r="D16" i="3"/>
  <c r="A16" i="3"/>
  <c r="H22" i="3"/>
  <c r="D22" i="3"/>
  <c r="B22" i="3"/>
  <c r="A22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5" i="2"/>
  <c r="Q44" i="2"/>
  <c r="F16" i="2"/>
  <c r="F17" i="2" s="1"/>
  <c r="C17" i="2"/>
  <c r="Q21" i="2"/>
  <c r="Q22" i="2"/>
  <c r="Q23" i="2"/>
  <c r="Q24" i="2"/>
  <c r="Q25" i="2"/>
  <c r="Q26" i="2"/>
  <c r="Q27" i="2"/>
  <c r="Q29" i="2"/>
  <c r="Q32" i="2"/>
  <c r="Q33" i="2"/>
  <c r="Q36" i="2"/>
  <c r="Q37" i="2"/>
  <c r="Q39" i="2"/>
  <c r="Q33" i="1"/>
  <c r="F11" i="1"/>
  <c r="Q32" i="1"/>
  <c r="G11" i="1"/>
  <c r="E15" i="1"/>
  <c r="C17" i="1"/>
  <c r="E30" i="1"/>
  <c r="F30" i="1"/>
  <c r="E31" i="1"/>
  <c r="F31" i="1"/>
  <c r="E21" i="1"/>
  <c r="F21" i="1"/>
  <c r="E23" i="1"/>
  <c r="F23" i="1"/>
  <c r="G23" i="1"/>
  <c r="I23" i="1"/>
  <c r="E26" i="1"/>
  <c r="F26" i="1"/>
  <c r="Q30" i="1"/>
  <c r="Q29" i="1"/>
  <c r="Q28" i="1"/>
  <c r="Q31" i="1"/>
  <c r="Q26" i="1"/>
  <c r="Q27" i="1"/>
  <c r="C7" i="1"/>
  <c r="E24" i="1"/>
  <c r="F24" i="1"/>
  <c r="C8" i="1"/>
  <c r="Q22" i="1"/>
  <c r="Q23" i="1"/>
  <c r="Q24" i="1"/>
  <c r="Q25" i="1"/>
  <c r="Q21" i="1"/>
  <c r="E25" i="1"/>
  <c r="F25" i="1"/>
  <c r="G25" i="1"/>
  <c r="I25" i="1"/>
  <c r="E28" i="1"/>
  <c r="F28" i="1"/>
  <c r="E33" i="1"/>
  <c r="F33" i="1"/>
  <c r="G33" i="1"/>
  <c r="J33" i="1"/>
  <c r="E22" i="1"/>
  <c r="F22" i="1"/>
  <c r="G22" i="1"/>
  <c r="I22" i="1"/>
  <c r="E27" i="1"/>
  <c r="F27" i="1"/>
  <c r="G27" i="1"/>
  <c r="J27" i="1"/>
  <c r="G21" i="1"/>
  <c r="E29" i="1"/>
  <c r="F29" i="1"/>
  <c r="E32" i="1"/>
  <c r="F32" i="1"/>
  <c r="G24" i="1"/>
  <c r="I24" i="1"/>
  <c r="G32" i="1"/>
  <c r="J32" i="1"/>
  <c r="G26" i="1"/>
  <c r="J26" i="1"/>
  <c r="H21" i="1"/>
  <c r="C12" i="1"/>
  <c r="E23" i="3" l="1"/>
  <c r="E15" i="3"/>
  <c r="E11" i="3"/>
  <c r="E24" i="3"/>
  <c r="F46" i="2"/>
  <c r="G46" i="2" s="1"/>
  <c r="K46" i="2" s="1"/>
  <c r="F30" i="2"/>
  <c r="G30" i="2" s="1"/>
  <c r="I30" i="2" s="1"/>
  <c r="E60" i="2"/>
  <c r="F60" i="2" s="1"/>
  <c r="G60" i="2" s="1"/>
  <c r="K60" i="2" s="1"/>
  <c r="E57" i="2"/>
  <c r="F57" i="2" s="1"/>
  <c r="G57" i="2" s="1"/>
  <c r="E59" i="2"/>
  <c r="F59" i="2" s="1"/>
  <c r="G59" i="2" s="1"/>
  <c r="K59" i="2" s="1"/>
  <c r="E12" i="3"/>
  <c r="F26" i="2"/>
  <c r="G26" i="2" s="1"/>
  <c r="J26" i="2" s="1"/>
  <c r="F35" i="2"/>
  <c r="G35" i="2" s="1"/>
  <c r="K35" i="2" s="1"/>
  <c r="F31" i="2"/>
  <c r="G31" i="2" s="1"/>
  <c r="I31" i="2" s="1"/>
  <c r="F27" i="2"/>
  <c r="G27" i="2" s="1"/>
  <c r="J27" i="2" s="1"/>
  <c r="C16" i="1"/>
  <c r="D18" i="1" s="1"/>
  <c r="C11" i="2"/>
  <c r="C12" i="2"/>
  <c r="C11" i="1"/>
  <c r="C16" i="2" l="1"/>
  <c r="D18" i="2" s="1"/>
  <c r="O48" i="2"/>
  <c r="O34" i="2"/>
  <c r="O45" i="2"/>
  <c r="O31" i="2"/>
  <c r="O50" i="2"/>
  <c r="O33" i="2"/>
  <c r="O51" i="2"/>
  <c r="O44" i="2"/>
  <c r="O54" i="2"/>
  <c r="O57" i="2"/>
  <c r="O38" i="2"/>
  <c r="O49" i="2"/>
  <c r="O56" i="2"/>
  <c r="O41" i="2"/>
  <c r="O27" i="2"/>
  <c r="O60" i="2"/>
  <c r="O47" i="2"/>
  <c r="O32" i="2"/>
  <c r="O52" i="2"/>
  <c r="O30" i="2"/>
  <c r="O37" i="2"/>
  <c r="O39" i="2"/>
  <c r="O29" i="2"/>
  <c r="O40" i="2"/>
  <c r="O55" i="2"/>
  <c r="O59" i="2"/>
  <c r="O43" i="2"/>
  <c r="O28" i="2"/>
  <c r="O42" i="2"/>
  <c r="O58" i="2"/>
  <c r="O36" i="2"/>
  <c r="O46" i="2"/>
  <c r="O53" i="2"/>
  <c r="K57" i="2"/>
  <c r="O35" i="2"/>
  <c r="C15" i="2"/>
  <c r="C18" i="2" s="1"/>
  <c r="C15" i="1"/>
  <c r="O26" i="1"/>
  <c r="O30" i="1"/>
  <c r="O25" i="1"/>
  <c r="O23" i="1"/>
  <c r="O31" i="1"/>
  <c r="O24" i="1"/>
  <c r="O22" i="1"/>
  <c r="O28" i="1"/>
  <c r="O27" i="1"/>
  <c r="O29" i="1"/>
  <c r="O33" i="1"/>
  <c r="O32" i="1"/>
  <c r="O21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<sst xmlns="http://schemas.openxmlformats.org/spreadsheetml/2006/main" count="353" uniqueCount="166">
  <si>
    <t>VSB-066</t>
  </si>
  <si>
    <t>JAVSO..44…69</t>
  </si>
  <si>
    <t>JAVSO..46…79 (2018)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</si>
  <si>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</si>
  <si>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</si>
  <si>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</si>
  <si>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</si>
  <si>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</si>
  <si>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</si>
  <si>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</si>
  <si>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</si>
  <si>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</si>
  <si>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</si>
  <si>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</si>
  <si>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</si>
  <si>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</si>
  <si>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</si>
  <si>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</si>
  <si>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</si>
  <si>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</si>
  <si>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</si>
  <si>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</si>
  <si>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</si>
  <si>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</si>
  <si>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</si>
  <si>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</si>
  <si>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</si>
  <si>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</si>
  <si>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</si>
  <si>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</si>
  <si>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</si>
  <si>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</si>
  <si>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</si>
  <si>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</t>
  </si>
  <si>
    <t>B</t>
  </si>
  <si>
    <t>BBSAG Bull.6</t>
  </si>
  <si>
    <t>BBSAG</t>
  </si>
  <si>
    <t>IBVS 5378</t>
  </si>
  <si>
    <t>I</t>
  </si>
  <si>
    <t>IBVS</t>
  </si>
  <si>
    <t>IBVS 4711</t>
  </si>
  <si>
    <t>VS Bull</t>
  </si>
  <si>
    <t>VS Bulletin 43</t>
  </si>
  <si>
    <t># of data points:</t>
  </si>
  <si>
    <t>EW/KE:</t>
  </si>
  <si>
    <t>EK Aqr / GSC 05829-00648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</si>
  <si>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</si>
  <si>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</si>
  <si>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</si>
  <si>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</si>
  <si>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</si>
  <si>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</si>
  <si>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</si>
  <si>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</si>
  <si>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This is a better period</t>
  </si>
  <si>
    <t>Cruumy fit - see page B</t>
  </si>
  <si>
    <t>Add cycle</t>
  </si>
  <si>
    <t>Old Cycle</t>
  </si>
  <si>
    <t>IBVS 5960</t>
  </si>
  <si>
    <t>II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</si>
  <si>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</si>
  <si>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</si>
  <si>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</si>
  <si>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</si>
  <si>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</si>
  <si>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</si>
  <si>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</si>
  <si>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</si>
  <si>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</si>
  <si>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</si>
  <si>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</si>
  <si>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</si>
  <si>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2439726.56 </t>
  </si>
  <si>
    <t> 24.08.1967 01:26 </t>
  </si>
  <si>
    <t> 0.08 </t>
  </si>
  <si>
    <t>E </t>
  </si>
  <si>
    <t>?</t>
  </si>
  <si>
    <t> A.A.Schoenmaker </t>
  </si>
  <si>
    <t> BAN 20.222 </t>
  </si>
  <si>
    <t>2441621.308 </t>
  </si>
  <si>
    <t> 30.10.1972 19:23 </t>
  </si>
  <si>
    <t> 0.076 </t>
  </si>
  <si>
    <t>V </t>
  </si>
  <si>
    <t> K.Locher </t>
  </si>
  <si>
    <t> BBS 6 </t>
  </si>
  <si>
    <t>2450717.4960 </t>
  </si>
  <si>
    <t> 25.09.1997 23:54 </t>
  </si>
  <si>
    <t> 0.0096 </t>
  </si>
  <si>
    <t>o</t>
  </si>
  <si>
    <t> W.Kleikamp </t>
  </si>
  <si>
    <t>BAVM 117 </t>
  </si>
  <si>
    <t>2452527.6670 </t>
  </si>
  <si>
    <t> 10.09.2002 04:00 </t>
  </si>
  <si>
    <t> -0.0010 </t>
  </si>
  <si>
    <t> S.Dvorak </t>
  </si>
  <si>
    <t>IBVS 5378 </t>
  </si>
  <si>
    <t>2452875.1160 </t>
  </si>
  <si>
    <t> 23.08.2003 14:47 </t>
  </si>
  <si>
    <t> -0.0040 </t>
  </si>
  <si>
    <t> K.Nagai </t>
  </si>
  <si>
    <t>VSB 42 </t>
  </si>
  <si>
    <t>2453285.0808 </t>
  </si>
  <si>
    <t> 06.10.2004 13:56 </t>
  </si>
  <si>
    <t> 0.0043 </t>
  </si>
  <si>
    <t>VSB 43 </t>
  </si>
  <si>
    <t>2453301.0089 </t>
  </si>
  <si>
    <t> 22.10.2004 12:12 </t>
  </si>
  <si>
    <t> -0.0001 </t>
  </si>
  <si>
    <t>2453312.9706 </t>
  </si>
  <si>
    <t> 03.11.2004 11:17 </t>
  </si>
  <si>
    <t> 0.0122 </t>
  </si>
  <si>
    <t>2454005.7181 </t>
  </si>
  <si>
    <t> 27.09.2006 05:14 </t>
  </si>
  <si>
    <t> 0.0006 </t>
  </si>
  <si>
    <t>C </t>
  </si>
  <si>
    <t>-I</t>
  </si>
  <si>
    <t> W.Ogloza et al. </t>
  </si>
  <si>
    <t>IBVS 5843 </t>
  </si>
  <si>
    <t>2454016.1333 </t>
  </si>
  <si>
    <t> 07.10.2006 15:11 </t>
  </si>
  <si>
    <t>1167</t>
  </si>
  <si>
    <t> -0.0016 </t>
  </si>
  <si>
    <t> K.Nagai et al. </t>
  </si>
  <si>
    <t>VSB 45 </t>
  </si>
  <si>
    <t>2454028.7013 </t>
  </si>
  <si>
    <t> 20.10.2006 04:49 </t>
  </si>
  <si>
    <t>1187.5</t>
  </si>
  <si>
    <t> 0.0042 </t>
  </si>
  <si>
    <t>2454059.9562 </t>
  </si>
  <si>
    <t> 20.11.2006 10:56 </t>
  </si>
  <si>
    <t>1238.5</t>
  </si>
  <si>
    <t> 0.0068 </t>
  </si>
  <si>
    <t>2454719.0587 </t>
  </si>
  <si>
    <t> 09.09.2008 13:24 </t>
  </si>
  <si>
    <t>2314</t>
  </si>
  <si>
    <t> 0.0536 </t>
  </si>
  <si>
    <t>Rc</t>
  </si>
  <si>
    <t>VSB 48 </t>
  </si>
  <si>
    <t>2455453.1351 </t>
  </si>
  <si>
    <t> 13.09.2010 15:14 </t>
  </si>
  <si>
    <t>3512</t>
  </si>
  <si>
    <t> 0.0076 </t>
  </si>
  <si>
    <t> K.Shiokawa </t>
  </si>
  <si>
    <t>VSB 51 </t>
  </si>
  <si>
    <t>2455503.6954 </t>
  </si>
  <si>
    <t> 03.11.2010 04:41 </t>
  </si>
  <si>
    <t>3594.5</t>
  </si>
  <si>
    <t> 0.0127 </t>
  </si>
  <si>
    <t> R.Diethelm </t>
  </si>
  <si>
    <t>IBVS 5960 </t>
  </si>
  <si>
    <t>2456181.1345 </t>
  </si>
  <si>
    <t> 10.09.2012 15:13 </t>
  </si>
  <si>
    <t>4700</t>
  </si>
  <si>
    <t> 0.0125 </t>
  </si>
  <si>
    <t> H.Itoh </t>
  </si>
  <si>
    <t>VSB 55 </t>
  </si>
  <si>
    <t>s5</t>
  </si>
  <si>
    <t>s6</t>
  </si>
  <si>
    <t>s7</t>
  </si>
  <si>
    <t>Ic</t>
  </si>
  <si>
    <t>JAVSO..48…87</t>
  </si>
  <si>
    <t>JAVSO..48..256</t>
  </si>
  <si>
    <t>JAVSO 49, 256</t>
  </si>
  <si>
    <t>JAVSO, 49, 265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</si>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</sst>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0" fillId="0" borderId="0" xfId="0">
      <alignment vertical="top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0" fontId="5" fillId="0" borderId="0" xfId="0" applyFont="1">
      <alignment vertical="top"/>
    </xf>
    <xf numFmtId="0" fontId="17" fillId="0" borderId="1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2" applyFont="1"/>
    <xf numFmtId="0" fontId="5" fillId="0" borderId="0" xfId="42" applyFont="1" applyBorder="1" applyAlignment="1">
      <alignment horizontal="center"/>
    </xf>
    <xf numFmtId="176" fontId="5" fillId="0" borderId="0" xfId="42" applyNumberFormat="1" applyFont="1" applyFill="1" applyBorder="1" applyAlignment="1" applyProtection="1">
      <alignment horizontal="left" vertical="top"/>
    </xf>
    <xf numFmtId="0" fontId="5" fillId="0" borderId="0" xfId="42" applyNumberFormat="1" applyFont="1" applyFill="1" applyBorder="1" applyAlignment="1" applyProtection="1">
      <alignment horizontal="left" vertical="top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7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92554563792670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4-47C5-AB08-8D5D622E9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4-47C5-AB08-8D5D622E9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44-47C5-AB08-8D5D622E9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4-47C5-AB08-8D5D622E9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44-47C5-AB08-8D5D622E9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4-47C5-AB08-8D5D622E9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44-47C5-AB08-8D5D622E9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-0.11759189311399865</c:v>
                </c:pt>
                <c:pt idx="7">
                  <c:v>-0.11594133775498777</c:v>
                </c:pt>
                <c:pt idx="8">
                  <c:v>-0.10695706483491724</c:v>
                </c:pt>
                <c:pt idx="9">
                  <c:v>-0.10695706483491724</c:v>
                </c:pt>
                <c:pt idx="10">
                  <c:v>-9.4409092844255083E-2</c:v>
                </c:pt>
                <c:pt idx="11">
                  <c:v>-9.4409092844255083E-2</c:v>
                </c:pt>
                <c:pt idx="12">
                  <c:v>-9.3921428760910974E-2</c:v>
                </c:pt>
                <c:pt idx="13">
                  <c:v>-9.3921428760910974E-2</c:v>
                </c:pt>
                <c:pt idx="14">
                  <c:v>-9.3555680698402865E-2</c:v>
                </c:pt>
                <c:pt idx="15">
                  <c:v>-9.3555680698402865E-2</c:v>
                </c:pt>
                <c:pt idx="16">
                  <c:v>-7.2351671228382597E-2</c:v>
                </c:pt>
                <c:pt idx="17">
                  <c:v>-7.2032813943119112E-2</c:v>
                </c:pt>
                <c:pt idx="18">
                  <c:v>-7.1648309569713187E-2</c:v>
                </c:pt>
                <c:pt idx="19">
                  <c:v>-7.0691737713922786E-2</c:v>
                </c:pt>
                <c:pt idx="20">
                  <c:v>-5.0519325343284294E-2</c:v>
                </c:pt>
                <c:pt idx="21">
                  <c:v>-3.8374614036925936E-2</c:v>
                </c:pt>
                <c:pt idx="22">
                  <c:v>-2.8049264887659076E-2</c:v>
                </c:pt>
                <c:pt idx="23">
                  <c:v>-2.6501869238586384E-2</c:v>
                </c:pt>
                <c:pt idx="24">
                  <c:v>-2.6501869238586384E-2</c:v>
                </c:pt>
                <c:pt idx="25">
                  <c:v>-5.766767541012352E-3</c:v>
                </c:pt>
                <c:pt idx="26">
                  <c:v>2.957012219053845E-2</c:v>
                </c:pt>
                <c:pt idx="27">
                  <c:v>5.0577190396131289E-2</c:v>
                </c:pt>
                <c:pt idx="28">
                  <c:v>5.1515005941023873E-2</c:v>
                </c:pt>
                <c:pt idx="29">
                  <c:v>5.2462199641365337E-2</c:v>
                </c:pt>
                <c:pt idx="30">
                  <c:v>6.1962271111126732E-2</c:v>
                </c:pt>
                <c:pt idx="31">
                  <c:v>6.1962271111126732E-2</c:v>
                </c:pt>
                <c:pt idx="32">
                  <c:v>6.1962271111126732E-2</c:v>
                </c:pt>
                <c:pt idx="33">
                  <c:v>7.4013200862995787E-2</c:v>
                </c:pt>
                <c:pt idx="34">
                  <c:v>7.404133532934265E-2</c:v>
                </c:pt>
                <c:pt idx="35">
                  <c:v>8.4573003898485766E-2</c:v>
                </c:pt>
                <c:pt idx="36">
                  <c:v>8.4573003898485766E-2</c:v>
                </c:pt>
                <c:pt idx="37">
                  <c:v>9.3219663222395055E-2</c:v>
                </c:pt>
                <c:pt idx="38">
                  <c:v>9.3219663222395055E-2</c:v>
                </c:pt>
                <c:pt idx="39">
                  <c:v>9.5470420530137101E-2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44-47C5-AB08-8D5D622E9C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44-47C5-AB08-8D5D622E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87328"/>
        <c:axId val="1"/>
      </c:scatterChart>
      <c:valAx>
        <c:axId val="840287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8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29805848736992"/>
          <c:y val="0.92024539877300615"/>
          <c:w val="0.820923474991158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6247755834829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9946140035906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B-4BEE-A22A-743E89F0FF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B-4BEE-A22A-743E89F0FF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B-4BEE-A22A-743E89F0FF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B-4BEE-A22A-743E89F0FF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B-4BEE-A22A-743E89F0FF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B-4BEE-A22A-743E89F0FF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B-4BEE-A22A-743E89F0FF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-0.11759189311399865</c:v>
                </c:pt>
                <c:pt idx="7">
                  <c:v>-0.11594133775498777</c:v>
                </c:pt>
                <c:pt idx="8">
                  <c:v>-0.10695706483491724</c:v>
                </c:pt>
                <c:pt idx="9">
                  <c:v>-0.10695706483491724</c:v>
                </c:pt>
                <c:pt idx="10">
                  <c:v>-9.4409092844255083E-2</c:v>
                </c:pt>
                <c:pt idx="11">
                  <c:v>-9.4409092844255083E-2</c:v>
                </c:pt>
                <c:pt idx="12">
                  <c:v>-9.3921428760910974E-2</c:v>
                </c:pt>
                <c:pt idx="13">
                  <c:v>-9.3921428760910974E-2</c:v>
                </c:pt>
                <c:pt idx="14">
                  <c:v>-9.3555680698402865E-2</c:v>
                </c:pt>
                <c:pt idx="15">
                  <c:v>-9.3555680698402865E-2</c:v>
                </c:pt>
                <c:pt idx="16">
                  <c:v>-7.2351671228382597E-2</c:v>
                </c:pt>
                <c:pt idx="17">
                  <c:v>-7.2032813943119112E-2</c:v>
                </c:pt>
                <c:pt idx="18">
                  <c:v>-7.1648309569713187E-2</c:v>
                </c:pt>
                <c:pt idx="19">
                  <c:v>-7.0691737713922786E-2</c:v>
                </c:pt>
                <c:pt idx="20">
                  <c:v>-5.0519325343284294E-2</c:v>
                </c:pt>
                <c:pt idx="21">
                  <c:v>-3.8374614036925936E-2</c:v>
                </c:pt>
                <c:pt idx="22">
                  <c:v>-2.8049264887659076E-2</c:v>
                </c:pt>
                <c:pt idx="23">
                  <c:v>-2.6501869238586384E-2</c:v>
                </c:pt>
                <c:pt idx="24">
                  <c:v>-2.6501869238586384E-2</c:v>
                </c:pt>
                <c:pt idx="25">
                  <c:v>-5.766767541012352E-3</c:v>
                </c:pt>
                <c:pt idx="26">
                  <c:v>2.957012219053845E-2</c:v>
                </c:pt>
                <c:pt idx="27">
                  <c:v>5.0577190396131289E-2</c:v>
                </c:pt>
                <c:pt idx="28">
                  <c:v>5.1515005941023873E-2</c:v>
                </c:pt>
                <c:pt idx="29">
                  <c:v>5.2462199641365337E-2</c:v>
                </c:pt>
                <c:pt idx="30">
                  <c:v>6.1962271111126732E-2</c:v>
                </c:pt>
                <c:pt idx="31">
                  <c:v>6.1962271111126732E-2</c:v>
                </c:pt>
                <c:pt idx="32">
                  <c:v>6.1962271111126732E-2</c:v>
                </c:pt>
                <c:pt idx="33">
                  <c:v>7.4013200862995787E-2</c:v>
                </c:pt>
                <c:pt idx="34">
                  <c:v>7.404133532934265E-2</c:v>
                </c:pt>
                <c:pt idx="35">
                  <c:v>8.4573003898485766E-2</c:v>
                </c:pt>
                <c:pt idx="36">
                  <c:v>8.4573003898485766E-2</c:v>
                </c:pt>
                <c:pt idx="37">
                  <c:v>9.3219663222395055E-2</c:v>
                </c:pt>
                <c:pt idx="38">
                  <c:v>9.3219663222395055E-2</c:v>
                </c:pt>
                <c:pt idx="39">
                  <c:v>9.5470420530137101E-2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B-4BEE-A22A-743E89F0FF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B-4BEE-A22A-743E89F0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6104"/>
        <c:axId val="1"/>
      </c:scatterChart>
      <c:valAx>
        <c:axId val="80062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64991023339318"/>
          <c:y val="0.92024539877300615"/>
          <c:w val="0.8312387791741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5"/>
          <c:w val="0.7925545637926705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495-82E5-BA157918E3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6.2550000002374873E-3</c:v>
                </c:pt>
                <c:pt idx="2">
                  <c:v>6.2550000002374873E-3</c:v>
                </c:pt>
                <c:pt idx="3">
                  <c:v>0</c:v>
                </c:pt>
                <c:pt idx="4">
                  <c:v>-4.0900000021792948E-3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4-4495-82E5-BA157918E3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">
                  <c:v>2.5300000001152512E-2</c:v>
                </c:pt>
                <c:pt idx="6">
                  <c:v>3.6830000004556496E-2</c:v>
                </c:pt>
                <c:pt idx="11">
                  <c:v>-0.13745500000368338</c:v>
                </c:pt>
                <c:pt idx="1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4-4495-82E5-BA157918E3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7">
                  <c:v>-7.9500000079860911E-2</c:v>
                </c:pt>
                <c:pt idx="8">
                  <c:v>0.10148500011564465</c:v>
                </c:pt>
                <c:pt idx="9">
                  <c:v>9.1844999784370884E-2</c:v>
                </c:pt>
                <c:pt idx="10">
                  <c:v>0.10024000011617318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4-4495-82E5-BA157918E3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4-4495-82E5-BA157918E3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4-4495-82E5-BA157918E3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4-4495-82E5-BA157918E3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1.6207624422637172E-2</c:v>
                </c:pt>
                <c:pt idx="1">
                  <c:v>5.3975312692917561E-3</c:v>
                </c:pt>
                <c:pt idx="2">
                  <c:v>5.3975312692917561E-3</c:v>
                </c:pt>
                <c:pt idx="3">
                  <c:v>5.3085219322872319E-3</c:v>
                </c:pt>
                <c:pt idx="4">
                  <c:v>4.9779158234132832E-3</c:v>
                </c:pt>
                <c:pt idx="5">
                  <c:v>-4.8932678128020969E-2</c:v>
                </c:pt>
                <c:pt idx="6">
                  <c:v>-5.9661028012688765E-2</c:v>
                </c:pt>
                <c:pt idx="7">
                  <c:v>-6.1720958383364895E-2</c:v>
                </c:pt>
                <c:pt idx="8">
                  <c:v>-6.4149641721631206E-2</c:v>
                </c:pt>
                <c:pt idx="9">
                  <c:v>-6.4244100609880922E-2</c:v>
                </c:pt>
                <c:pt idx="10">
                  <c:v>-6.4314944776068195E-2</c:v>
                </c:pt>
                <c:pt idx="11">
                  <c:v>-6.8422089897848398E-2</c:v>
                </c:pt>
                <c:pt idx="12">
                  <c:v>-6.8558328678977765E-2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4-4495-82E5-BA157918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10616"/>
        <c:axId val="1"/>
      </c:scatterChart>
      <c:valAx>
        <c:axId val="8403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92926416112879"/>
          <c:y val="0.91874999999999996"/>
          <c:w val="0.875888013998250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47625</xdr:rowOff>
    </xdr:from>
    <xdr:to>
      <xdr:col>15</xdr:col>
      <xdr:colOff>28575</xdr:colOff>
      <xdr:row>18</xdr:row>
      <xdr:rowOff>66675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A694841-819E-231A-0071-69145D77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0</xdr:row>
      <xdr:rowOff>0</xdr:rowOff>
    </xdr:from>
    <xdr:to>
      <xdr:col>23</xdr:col>
      <xdr:colOff>476250</xdr:colOff>
      <xdr:row>18</xdr:row>
      <xdr:rowOff>19050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8B2F5B78-C0B5-4132-9510-A5D45AA43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133350</xdr:rowOff>
    </xdr:from>
    <xdr:to>
      <xdr:col>17</xdr:col>
      <xdr:colOff>47625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B384DE-097B-E05B-AE04-C2A59ABEF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378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D1" s="9"/>
    </row>
    <row r="2" spans="1:6" x14ac:dyDescent="0.2">
      <c r="A2" t="s">
        <v>28</v>
      </c>
      <c r="B2" s="12" t="s">
        <v>44</v>
      </c>
    </row>
    <row r="3" spans="1:6" ht="13.5" thickBot="1" x14ac:dyDescent="0.25">
      <c r="A3" s="37" t="s">
        <v>54</v>
      </c>
    </row>
    <row r="4" spans="1:6" ht="14.25" thickTop="1" thickBot="1" x14ac:dyDescent="0.25">
      <c r="A4" s="6" t="s">
        <v>4</v>
      </c>
      <c r="C4" s="2">
        <v>39726.559999999998</v>
      </c>
      <c r="D4" s="3">
        <v>0.61299000000000003</v>
      </c>
    </row>
    <row r="5" spans="1:6" ht="13.5" thickTop="1" x14ac:dyDescent="0.2">
      <c r="A5" s="13" t="s">
        <v>46</v>
      </c>
      <c r="B5" s="10"/>
      <c r="C5" s="14">
        <v>-9.5</v>
      </c>
      <c r="D5" s="10" t="s">
        <v>47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39726.559999999998</v>
      </c>
    </row>
    <row r="8" spans="1:6" x14ac:dyDescent="0.2">
      <c r="A8" t="s">
        <v>7</v>
      </c>
      <c r="C8">
        <v>0.61278699999999997</v>
      </c>
    </row>
    <row r="9" spans="1:6" x14ac:dyDescent="0.2">
      <c r="A9" s="27" t="s">
        <v>52</v>
      </c>
      <c r="B9" s="28">
        <v>48</v>
      </c>
      <c r="C9" s="16" t="str">
        <f>"F"&amp;B9</f>
        <v>F48</v>
      </c>
      <c r="D9" s="11" t="str">
        <f>"G"&amp;B9</f>
        <v>G48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15">
        <f ca="1">INTERCEPT(INDIRECT($D$9):G990,INDIRECT($C$9):F990)</f>
        <v>-0.50941122777010106</v>
      </c>
      <c r="D11" s="4"/>
      <c r="E11" s="10"/>
    </row>
    <row r="12" spans="1:6" x14ac:dyDescent="0.2">
      <c r="A12" s="10" t="s">
        <v>21</v>
      </c>
      <c r="B12" s="10"/>
      <c r="C12" s="15">
        <f ca="1">SLOPE(INDIRECT($D$9):G990,INDIRECT($C$9):F990)</f>
        <v>1.8756310897850763E-5</v>
      </c>
      <c r="D12" s="4"/>
      <c r="E12" s="10"/>
    </row>
    <row r="13" spans="1:6" x14ac:dyDescent="0.2">
      <c r="A13" s="10" t="s">
        <v>23</v>
      </c>
      <c r="B13" s="10"/>
      <c r="C13" s="4" t="s">
        <v>18</v>
      </c>
    </row>
    <row r="14" spans="1:6" x14ac:dyDescent="0.2">
      <c r="A14" s="10"/>
      <c r="B14" s="10"/>
      <c r="C14" s="10"/>
    </row>
    <row r="15" spans="1:6" x14ac:dyDescent="0.2">
      <c r="A15" s="17" t="s">
        <v>22</v>
      </c>
      <c r="B15" s="10"/>
      <c r="C15" s="18">
        <f ca="1">(C7+C11)+(C8+C12)*INT(MAX(F21:F3531))</f>
        <v>59488.423424042368</v>
      </c>
      <c r="E15" s="19" t="s">
        <v>56</v>
      </c>
      <c r="F15" s="14">
        <v>1</v>
      </c>
    </row>
    <row r="16" spans="1:6" x14ac:dyDescent="0.2">
      <c r="A16" s="21" t="s">
        <v>8</v>
      </c>
      <c r="B16" s="10"/>
      <c r="C16" s="22">
        <f ca="1">+C8+C12</f>
        <v>0.61280575631089784</v>
      </c>
      <c r="E16" s="19" t="s">
        <v>48</v>
      </c>
      <c r="F16" s="20">
        <f ca="1">NOW()+15018.5+$C$5/24</f>
        <v>59945.76472407407</v>
      </c>
    </row>
    <row r="17" spans="1:30" ht="13.5" thickBot="1" x14ac:dyDescent="0.25">
      <c r="A17" s="19" t="s">
        <v>43</v>
      </c>
      <c r="B17" s="10"/>
      <c r="C17" s="10">
        <f>COUNT(C21:C2189)</f>
        <v>40</v>
      </c>
      <c r="E17" s="19" t="s">
        <v>57</v>
      </c>
      <c r="F17" s="20">
        <f ca="1">ROUND(2*(F16-$C$7)/$C$8,0)/2+F15</f>
        <v>32996.5</v>
      </c>
    </row>
    <row r="18" spans="1:30" ht="14.25" thickTop="1" thickBot="1" x14ac:dyDescent="0.25">
      <c r="A18" s="21" t="s">
        <v>9</v>
      </c>
      <c r="B18" s="10"/>
      <c r="C18" s="24">
        <f ca="1">+C15</f>
        <v>59488.423424042368</v>
      </c>
      <c r="D18" s="25">
        <f ca="1">+C16</f>
        <v>0.61280575631089784</v>
      </c>
      <c r="E18" s="19" t="s">
        <v>49</v>
      </c>
      <c r="F18" s="11">
        <f ca="1">ROUND(2*(F16-$C$15)/$C$16,0)/2+F15</f>
        <v>747.5</v>
      </c>
    </row>
    <row r="19" spans="1:30" ht="13.5" thickTop="1" x14ac:dyDescent="0.2">
      <c r="E19" s="19" t="s">
        <v>50</v>
      </c>
      <c r="F19" s="23">
        <f ca="1">+$C$15+$C$16*F18-15018.5-$C$5/24</f>
        <v>44928.3915602181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156</v>
      </c>
      <c r="M20" s="8" t="s">
        <v>157</v>
      </c>
      <c r="N20" s="8" t="s">
        <v>158</v>
      </c>
      <c r="O20" s="8" t="s">
        <v>27</v>
      </c>
      <c r="P20" s="7" t="s">
        <v>26</v>
      </c>
      <c r="Q20" s="5" t="s">
        <v>19</v>
      </c>
      <c r="U20" s="40" t="s">
        <v>60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/>
      <c r="P21" s="29"/>
      <c r="Q21" s="31">
        <f>+C21-15018.5</f>
        <v>24708.059999999998</v>
      </c>
      <c r="S21" s="29"/>
      <c r="U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>+(C22-C$7)/C$8</f>
        <v>2976.4959113035993</v>
      </c>
      <c r="F22" s="29">
        <f>ROUND(2*E22,0)/2</f>
        <v>2976.5</v>
      </c>
      <c r="G22" s="29">
        <f>+C22-(C$7+F22*C$8)</f>
        <v>-2.5055000005522743E-3</v>
      </c>
      <c r="H22" s="29"/>
      <c r="I22" s="29">
        <f>G22</f>
        <v>-2.5055000005522743E-3</v>
      </c>
      <c r="J22" s="29"/>
      <c r="K22" s="29"/>
      <c r="L22" s="29"/>
      <c r="M22" s="29"/>
      <c r="N22" s="29"/>
      <c r="O22" s="29"/>
      <c r="P22" s="29"/>
      <c r="Q22" s="31">
        <f>+C22-15018.5</f>
        <v>26532.017999999996</v>
      </c>
      <c r="S22" s="29"/>
      <c r="U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>+(C23-C$7)/C$8</f>
        <v>2976.4959113035993</v>
      </c>
      <c r="F23" s="29">
        <f>ROUND(2*E23,0)/2</f>
        <v>2976.5</v>
      </c>
      <c r="G23" s="29">
        <f>+C23-(C$7+F23*C$8)</f>
        <v>-2.5055000005522743E-3</v>
      </c>
      <c r="H23" s="29"/>
      <c r="I23" s="29">
        <f>G23</f>
        <v>-2.5055000005522743E-3</v>
      </c>
      <c r="J23" s="29"/>
      <c r="K23" s="29"/>
      <c r="L23" s="29"/>
      <c r="M23" s="29"/>
      <c r="N23" s="29"/>
      <c r="O23" s="29"/>
      <c r="P23" s="29"/>
      <c r="Q23" s="31">
        <f>+C23-15018.5</f>
        <v>26532.017999999996</v>
      </c>
      <c r="S23" s="29"/>
      <c r="U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>+(C24-C$7)/C$8</f>
        <v>3000.9938200386127</v>
      </c>
      <c r="F24" s="29">
        <f>ROUND(2*E24,0)/2</f>
        <v>3001</v>
      </c>
      <c r="G24" s="29">
        <f>+C24-(C$7+F24*C$8)</f>
        <v>-3.7870000014663674E-3</v>
      </c>
      <c r="H24" s="29"/>
      <c r="I24" s="29">
        <f>G24</f>
        <v>-3.7870000014663674E-3</v>
      </c>
      <c r="J24" s="29"/>
      <c r="K24" s="29"/>
      <c r="L24" s="29"/>
      <c r="M24" s="29"/>
      <c r="N24" s="29"/>
      <c r="O24" s="29"/>
      <c r="P24" s="29"/>
      <c r="Q24" s="31">
        <f>+C24-15018.5</f>
        <v>26547.03</v>
      </c>
      <c r="S24" s="29"/>
      <c r="U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>+(C25-C$7)/C$8</f>
        <v>3092.0172914895384</v>
      </c>
      <c r="F25" s="29">
        <f>ROUND(2*E25,0)/2</f>
        <v>3092</v>
      </c>
      <c r="G25" s="29">
        <f>+C25-(C$7+F25*C$8)</f>
        <v>1.0596000000077765E-2</v>
      </c>
      <c r="H25" s="29"/>
      <c r="I25" s="29">
        <f>G25</f>
        <v>1.0596000000077765E-2</v>
      </c>
      <c r="J25" s="29"/>
      <c r="K25" s="29"/>
      <c r="L25" s="29"/>
      <c r="M25" s="29"/>
      <c r="N25" s="29"/>
      <c r="O25" s="29"/>
      <c r="P25" s="29"/>
      <c r="Q25" s="31">
        <f>+C25-15018.5</f>
        <v>26602.807999999997</v>
      </c>
      <c r="S25" s="29"/>
      <c r="U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>+(C26-C$7)/C$8</f>
        <v>17935.981017874077</v>
      </c>
      <c r="F26" s="29">
        <f>ROUND(2*E26,0)/2</f>
        <v>17936</v>
      </c>
      <c r="G26" s="29">
        <f>+C26-(C$7+F26*C$8)</f>
        <v>-1.1631999994278885E-2</v>
      </c>
      <c r="H26" s="29"/>
      <c r="I26" s="29"/>
      <c r="J26" s="29">
        <f>G26</f>
        <v>-1.1631999994278885E-2</v>
      </c>
      <c r="K26" s="29"/>
      <c r="L26" s="29"/>
      <c r="M26" s="29"/>
      <c r="N26" s="29"/>
      <c r="O26" s="29"/>
      <c r="P26" s="29"/>
      <c r="Q26" s="31">
        <f>+C26-15018.5</f>
        <v>35698.995999999999</v>
      </c>
      <c r="S26" s="29"/>
      <c r="U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>+(C27-C$7)/C$8</f>
        <v>20889.97808373873</v>
      </c>
      <c r="F27" s="29">
        <f>ROUND(2*E27,0)/2</f>
        <v>20890</v>
      </c>
      <c r="G27" s="29">
        <f>+C27-(C$7+F27*C$8)</f>
        <v>-1.3429999991785735E-2</v>
      </c>
      <c r="H27" s="29"/>
      <c r="I27" s="29"/>
      <c r="J27" s="29">
        <f>G27</f>
        <v>-1.3429999991785735E-2</v>
      </c>
      <c r="K27" s="29"/>
      <c r="L27" s="29"/>
      <c r="M27" s="29"/>
      <c r="N27" s="29"/>
      <c r="O27" s="29">
        <f ca="1">+C$11+C$12*F27</f>
        <v>-0.11759189311399865</v>
      </c>
      <c r="P27" s="29"/>
      <c r="Q27" s="31">
        <f>+C27-15018.5</f>
        <v>37509.167000000001</v>
      </c>
      <c r="S27" s="29"/>
      <c r="U27" s="29"/>
    </row>
    <row r="28" spans="1:30" x14ac:dyDescent="0.2">
      <c r="A28" s="62" t="s">
        <v>1</v>
      </c>
      <c r="B28" s="63" t="s">
        <v>38</v>
      </c>
      <c r="C28" s="64">
        <v>52581.592499999999</v>
      </c>
      <c r="D28" s="64">
        <v>5.9999999999999995E-4</v>
      </c>
      <c r="E28" s="29">
        <f>+(C28-C$7)/C$8</f>
        <v>20977.978481919494</v>
      </c>
      <c r="F28" s="29">
        <f>ROUND(2*E28,0)/2</f>
        <v>20978</v>
      </c>
      <c r="G28" s="29">
        <f>+C28-(C$7+F28*C$8)</f>
        <v>-1.3185999996494502E-2</v>
      </c>
      <c r="H28" s="29"/>
      <c r="I28" s="29"/>
      <c r="K28" s="29">
        <f>G28</f>
        <v>-1.3185999996494502E-2</v>
      </c>
      <c r="L28" s="29"/>
      <c r="M28" s="29"/>
      <c r="N28" s="29"/>
      <c r="O28" s="29">
        <f ca="1">+C$11+C$12*F28</f>
        <v>-0.11594133775498777</v>
      </c>
      <c r="P28" s="29"/>
      <c r="Q28" s="31">
        <f>+C28-15018.5</f>
        <v>37563.092499999999</v>
      </c>
      <c r="S28" s="29"/>
      <c r="U28" s="29"/>
    </row>
    <row r="29" spans="1:30" x14ac:dyDescent="0.2">
      <c r="A29" s="32" t="s">
        <v>42</v>
      </c>
      <c r="B29" s="32"/>
      <c r="C29" s="34">
        <v>52875.115999999922</v>
      </c>
      <c r="D29" s="34"/>
      <c r="E29" s="29">
        <f>+(C29-C$7)/C$8</f>
        <v>21456.976078147749</v>
      </c>
      <c r="F29" s="29">
        <f>ROUND(2*E29,0)/2</f>
        <v>21457</v>
      </c>
      <c r="G29" s="29"/>
      <c r="H29" s="29"/>
      <c r="I29" s="29"/>
      <c r="J29" s="29"/>
      <c r="L29" s="29"/>
      <c r="M29" s="29"/>
      <c r="N29" s="29"/>
      <c r="O29" s="29">
        <f ca="1">+C$11+C$12*F29</f>
        <v>-0.10695706483491724</v>
      </c>
      <c r="P29" s="29"/>
      <c r="Q29" s="31">
        <f>+C29-15018.5</f>
        <v>37856.615999999922</v>
      </c>
      <c r="S29" s="29"/>
      <c r="U29" s="33">
        <v>-7.9500000079860911E-2</v>
      </c>
    </row>
    <row r="30" spans="1:30" x14ac:dyDescent="0.2">
      <c r="A30" s="33" t="s">
        <v>100</v>
      </c>
      <c r="B30" s="30" t="s">
        <v>38</v>
      </c>
      <c r="C30" s="34">
        <v>52875.116000000002</v>
      </c>
      <c r="D30" s="34" t="s">
        <v>71</v>
      </c>
      <c r="E30" s="29">
        <f>+(C30-C$7)/C$8</f>
        <v>21456.97607814788</v>
      </c>
      <c r="F30" s="29">
        <f>ROUND(2*E30,0)/2</f>
        <v>21457</v>
      </c>
      <c r="G30" s="29">
        <f>+C30-(C$7+F30*C$8)</f>
        <v>-1.4658999993116595E-2</v>
      </c>
      <c r="H30" s="29"/>
      <c r="I30" s="29">
        <f>G30</f>
        <v>-1.4658999993116595E-2</v>
      </c>
      <c r="K30" s="29"/>
      <c r="L30" s="29"/>
      <c r="M30" s="29"/>
      <c r="N30" s="29"/>
      <c r="O30" s="29">
        <f ca="1">+C$11+C$12*F30</f>
        <v>-0.10695706483491724</v>
      </c>
      <c r="P30" s="29"/>
      <c r="Q30" s="31">
        <f>+C30-15018.5</f>
        <v>37856.616000000002</v>
      </c>
      <c r="S30" s="29"/>
      <c r="U30" s="29"/>
    </row>
    <row r="31" spans="1:30" x14ac:dyDescent="0.2">
      <c r="A31" s="33" t="s">
        <v>104</v>
      </c>
      <c r="B31" s="30" t="s">
        <v>38</v>
      </c>
      <c r="C31" s="34">
        <v>53285.080800000003</v>
      </c>
      <c r="D31" s="34" t="s">
        <v>71</v>
      </c>
      <c r="E31" s="29">
        <f>+(C31-C$7)/C$8</f>
        <v>22125.992881702787</v>
      </c>
      <c r="F31" s="29">
        <f>ROUND(2*E31,0)/2</f>
        <v>22126</v>
      </c>
      <c r="G31" s="29">
        <f>+C31-(C$7+F31*C$8)</f>
        <v>-4.3619999923976138E-3</v>
      </c>
      <c r="H31" s="29"/>
      <c r="I31" s="29">
        <f>G31</f>
        <v>-4.3619999923976138E-3</v>
      </c>
      <c r="K31" s="29"/>
      <c r="L31" s="29"/>
      <c r="M31" s="29"/>
      <c r="N31" s="29"/>
      <c r="O31" s="29">
        <f ca="1">+C$11+C$12*F31</f>
        <v>-9.4409092844255083E-2</v>
      </c>
      <c r="P31" s="29"/>
      <c r="Q31" s="31">
        <f>+C31-15018.5</f>
        <v>38266.580800000003</v>
      </c>
      <c r="S31" s="29"/>
      <c r="U31" s="29"/>
    </row>
    <row r="32" spans="1:30" x14ac:dyDescent="0.2">
      <c r="A32" s="32" t="s">
        <v>42</v>
      </c>
      <c r="B32" s="32"/>
      <c r="C32" s="34">
        <v>53285.080800000113</v>
      </c>
      <c r="D32" s="34"/>
      <c r="E32" s="29">
        <f>+(C32-C$7)/C$8</f>
        <v>22125.992881702965</v>
      </c>
      <c r="F32" s="29">
        <f>ROUND(2*E32,0)/2</f>
        <v>22126</v>
      </c>
      <c r="G32" s="29"/>
      <c r="H32" s="29"/>
      <c r="I32" s="29"/>
      <c r="J32" s="29"/>
      <c r="L32" s="29"/>
      <c r="M32" s="29"/>
      <c r="N32" s="29"/>
      <c r="O32" s="29">
        <f ca="1">+C$11+C$12*F32</f>
        <v>-9.4409092844255083E-2</v>
      </c>
      <c r="P32" s="29"/>
      <c r="Q32" s="31">
        <f>+C32-15018.5</f>
        <v>38266.580800000113</v>
      </c>
      <c r="S32" s="29"/>
      <c r="U32" s="33">
        <v>0.10148500011564465</v>
      </c>
    </row>
    <row r="33" spans="1:21" x14ac:dyDescent="0.2">
      <c r="A33" s="32" t="s">
        <v>42</v>
      </c>
      <c r="B33" s="32"/>
      <c r="C33" s="34">
        <v>53301.008899999782</v>
      </c>
      <c r="D33" s="34"/>
      <c r="E33" s="29">
        <f>+(C33-C$7)/C$8</f>
        <v>22151.985763405206</v>
      </c>
      <c r="F33" s="29">
        <f>ROUND(2*E33,0)/2</f>
        <v>22152</v>
      </c>
      <c r="G33" s="29"/>
      <c r="H33" s="29"/>
      <c r="I33" s="29"/>
      <c r="J33" s="29"/>
      <c r="L33" s="29"/>
      <c r="M33" s="29"/>
      <c r="N33" s="29"/>
      <c r="O33" s="29">
        <f ca="1">+C$11+C$12*F33</f>
        <v>-9.3921428760910974E-2</v>
      </c>
      <c r="P33" s="29"/>
      <c r="Q33" s="31">
        <f>+C33-15018.5</f>
        <v>38282.508899999782</v>
      </c>
      <c r="S33" s="29"/>
      <c r="U33" s="33">
        <v>9.1844999784370884E-2</v>
      </c>
    </row>
    <row r="34" spans="1:21" x14ac:dyDescent="0.2">
      <c r="A34" s="33" t="s">
        <v>104</v>
      </c>
      <c r="B34" s="30" t="s">
        <v>38</v>
      </c>
      <c r="C34" s="34">
        <v>53301.008900000001</v>
      </c>
      <c r="D34" s="34" t="s">
        <v>71</v>
      </c>
      <c r="E34" s="29">
        <f>+(C34-C$7)/C$8</f>
        <v>22151.985763405562</v>
      </c>
      <c r="F34" s="29">
        <f>ROUND(2*E34,0)/2</f>
        <v>22152</v>
      </c>
      <c r="G34" s="29">
        <f>+C34-(C$7+F34*C$8)</f>
        <v>-8.7239999993471429E-3</v>
      </c>
      <c r="H34" s="29"/>
      <c r="I34" s="29"/>
      <c r="K34" s="29">
        <f>G34</f>
        <v>-8.7239999993471429E-3</v>
      </c>
      <c r="L34" s="29"/>
      <c r="M34" s="29"/>
      <c r="N34" s="29"/>
      <c r="O34" s="29">
        <f ca="1">+C$11+C$12*F34</f>
        <v>-9.3921428760910974E-2</v>
      </c>
      <c r="P34" s="29"/>
      <c r="Q34" s="31">
        <f>+C34-15018.5</f>
        <v>38282.508900000001</v>
      </c>
      <c r="S34" s="29"/>
      <c r="U34" s="29"/>
    </row>
    <row r="35" spans="1:21" x14ac:dyDescent="0.2">
      <c r="A35" s="33" t="s">
        <v>104</v>
      </c>
      <c r="B35" s="30" t="s">
        <v>59</v>
      </c>
      <c r="C35" s="34">
        <v>53312.970600000001</v>
      </c>
      <c r="D35" s="34" t="s">
        <v>71</v>
      </c>
      <c r="E35" s="29">
        <f>+(C35-C$7)/C$8</f>
        <v>22171.50592293897</v>
      </c>
      <c r="F35" s="29">
        <f>ROUND(2*E35,0)/2</f>
        <v>22171.5</v>
      </c>
      <c r="G35" s="29">
        <f>+C35-(C$7+F35*C$8)</f>
        <v>3.629500002716668E-3</v>
      </c>
      <c r="H35" s="29"/>
      <c r="I35" s="29"/>
      <c r="K35" s="29">
        <f>G35</f>
        <v>3.629500002716668E-3</v>
      </c>
      <c r="L35" s="29"/>
      <c r="M35" s="29"/>
      <c r="N35" s="29"/>
      <c r="O35" s="29">
        <f ca="1">+C$11+C$12*F35</f>
        <v>-9.3555680698402865E-2</v>
      </c>
      <c r="P35" s="29"/>
      <c r="Q35" s="31">
        <f>+C35-15018.5</f>
        <v>38294.470600000001</v>
      </c>
      <c r="S35" s="29"/>
      <c r="U35" s="29"/>
    </row>
    <row r="36" spans="1:21" x14ac:dyDescent="0.2">
      <c r="A36" s="32" t="s">
        <v>42</v>
      </c>
      <c r="B36" s="32"/>
      <c r="C36" s="34">
        <v>53312.970600000117</v>
      </c>
      <c r="D36" s="34"/>
      <c r="E36" s="29">
        <f>+(C36-C$7)/C$8</f>
        <v>22171.505922939163</v>
      </c>
      <c r="F36" s="29">
        <f>ROUND(2*E36,0)/2</f>
        <v>22171.5</v>
      </c>
      <c r="G36" s="29"/>
      <c r="H36" s="29"/>
      <c r="I36" s="29"/>
      <c r="J36" s="29"/>
      <c r="L36" s="29"/>
      <c r="M36" s="29"/>
      <c r="N36" s="29"/>
      <c r="O36" s="29">
        <f ca="1">+C$11+C$12*F36</f>
        <v>-9.3555680698402865E-2</v>
      </c>
      <c r="P36" s="29"/>
      <c r="Q36" s="31">
        <f>+C36-15018.5</f>
        <v>38294.470600000117</v>
      </c>
      <c r="S36" s="29"/>
      <c r="U36" s="33">
        <v>0.10024000011617318</v>
      </c>
    </row>
    <row r="37" spans="1:21" x14ac:dyDescent="0.2">
      <c r="A37" s="39" t="s">
        <v>53</v>
      </c>
      <c r="B37" s="30" t="s">
        <v>38</v>
      </c>
      <c r="C37" s="36">
        <v>54005.718099999998</v>
      </c>
      <c r="D37" s="36">
        <v>2.7000000000000001E-3</v>
      </c>
      <c r="E37" s="29">
        <f>+(C37-C$7)/C$8</f>
        <v>23301.992535742436</v>
      </c>
      <c r="F37" s="29">
        <f>ROUND(2*E37,0)/2</f>
        <v>23302</v>
      </c>
      <c r="G37" s="29">
        <f>+C37-(C$7+F37*C$8)</f>
        <v>-4.5739999986835755E-3</v>
      </c>
      <c r="H37" s="29"/>
      <c r="I37" s="29"/>
      <c r="K37" s="29">
        <f>G37</f>
        <v>-4.5739999986835755E-3</v>
      </c>
      <c r="L37" s="29"/>
      <c r="M37" s="29"/>
      <c r="N37" s="29"/>
      <c r="O37" s="29">
        <f ca="1">+C$11+C$12*F37</f>
        <v>-7.2351671228382597E-2</v>
      </c>
      <c r="P37" s="29"/>
      <c r="Q37" s="31">
        <f>+C37-15018.5</f>
        <v>38987.218099999998</v>
      </c>
      <c r="S37" s="29"/>
      <c r="U37" s="29"/>
    </row>
    <row r="38" spans="1:21" x14ac:dyDescent="0.2">
      <c r="A38" s="33" t="s">
        <v>123</v>
      </c>
      <c r="B38" s="30" t="s">
        <v>38</v>
      </c>
      <c r="C38" s="34">
        <v>54016.133300000001</v>
      </c>
      <c r="D38" s="34" t="s">
        <v>71</v>
      </c>
      <c r="E38" s="29">
        <f>+(C38-C$7)/C$8</f>
        <v>23318.988979857608</v>
      </c>
      <c r="F38" s="29">
        <f>ROUND(2*E38,0)/2</f>
        <v>23319</v>
      </c>
      <c r="G38" s="29">
        <f>+C38-(C$7+F38*C$8)</f>
        <v>-6.7529999942053109E-3</v>
      </c>
      <c r="H38" s="29"/>
      <c r="I38" s="29"/>
      <c r="K38" s="29">
        <f>G38</f>
        <v>-6.7529999942053109E-3</v>
      </c>
      <c r="L38" s="29"/>
      <c r="M38" s="29"/>
      <c r="N38" s="29"/>
      <c r="O38" s="29">
        <f ca="1">+C$11+C$12*F38</f>
        <v>-7.2032813943119112E-2</v>
      </c>
      <c r="P38" s="29"/>
      <c r="Q38" s="31">
        <f>+C38-15018.5</f>
        <v>38997.633300000001</v>
      </c>
      <c r="S38" s="29"/>
      <c r="U38" s="29"/>
    </row>
    <row r="39" spans="1:21" x14ac:dyDescent="0.2">
      <c r="A39" s="39" t="s">
        <v>53</v>
      </c>
      <c r="B39" s="30" t="s">
        <v>38</v>
      </c>
      <c r="C39" s="36">
        <v>54028.701300000001</v>
      </c>
      <c r="D39" s="36">
        <v>1.6000000000000001E-3</v>
      </c>
      <c r="E39" s="29">
        <f>+(C39-C$7)/C$8</f>
        <v>23339.498553330934</v>
      </c>
      <c r="F39" s="29">
        <f>ROUND(2*E39,0)/2</f>
        <v>23339.5</v>
      </c>
      <c r="G39" s="29">
        <f>+C39-(C$7+F39*C$8)</f>
        <v>-8.8649999815970659E-4</v>
      </c>
      <c r="H39" s="29"/>
      <c r="I39" s="29"/>
      <c r="K39" s="29">
        <f>G39</f>
        <v>-8.8649999815970659E-4</v>
      </c>
      <c r="L39" s="29"/>
      <c r="M39" s="29"/>
      <c r="N39" s="29"/>
      <c r="O39" s="29">
        <f ca="1">+C$11+C$12*F39</f>
        <v>-7.1648309569713187E-2</v>
      </c>
      <c r="P39" s="29"/>
      <c r="Q39" s="31">
        <f>+C39-15018.5</f>
        <v>39010.201300000001</v>
      </c>
      <c r="S39" s="29"/>
      <c r="U39" s="29"/>
    </row>
    <row r="40" spans="1:21" x14ac:dyDescent="0.2">
      <c r="A40" s="33" t="s">
        <v>123</v>
      </c>
      <c r="B40" s="30" t="s">
        <v>59</v>
      </c>
      <c r="C40" s="34">
        <v>54059.956200000001</v>
      </c>
      <c r="D40" s="34" t="s">
        <v>71</v>
      </c>
      <c r="E40" s="29">
        <f>+(C40-C$7)/C$8</f>
        <v>23390.503062238597</v>
      </c>
      <c r="F40" s="29">
        <f>ROUND(2*E40,0)/2</f>
        <v>23390.5</v>
      </c>
      <c r="G40" s="29">
        <f>+C40-(C$7+F40*C$8)</f>
        <v>1.8765000058920123E-3</v>
      </c>
      <c r="H40" s="29"/>
      <c r="I40" s="29"/>
      <c r="K40" s="29">
        <f>G40</f>
        <v>1.8765000058920123E-3</v>
      </c>
      <c r="L40" s="29"/>
      <c r="M40" s="29"/>
      <c r="N40" s="29"/>
      <c r="O40" s="29">
        <f ca="1">+C$11+C$12*F40</f>
        <v>-7.0691737713922786E-2</v>
      </c>
      <c r="P40" s="29"/>
      <c r="Q40" s="31">
        <f>+C40-15018.5</f>
        <v>39041.456200000001</v>
      </c>
      <c r="S40" s="29"/>
      <c r="U40" s="29"/>
    </row>
    <row r="41" spans="1:21" x14ac:dyDescent="0.2">
      <c r="A41" s="33" t="s">
        <v>137</v>
      </c>
      <c r="B41" s="30" t="s">
        <v>38</v>
      </c>
      <c r="C41" s="34">
        <v>54719.058700000001</v>
      </c>
      <c r="D41" s="34" t="s">
        <v>71</v>
      </c>
      <c r="E41" s="29">
        <f>+(C41-C$7)/C$8</f>
        <v>24466.084789657751</v>
      </c>
      <c r="F41" s="29">
        <f>ROUND(2*E41,0)/2</f>
        <v>24466</v>
      </c>
      <c r="H41" s="29"/>
      <c r="I41" s="29"/>
      <c r="K41" s="29"/>
      <c r="L41" s="29"/>
      <c r="M41" s="29"/>
      <c r="N41" s="29"/>
      <c r="O41" s="29">
        <f ca="1">+C$11+C$12*F41</f>
        <v>-5.0519325343284294E-2</v>
      </c>
      <c r="P41" s="29"/>
      <c r="Q41" s="31">
        <f>+C41-15018.5</f>
        <v>39700.558700000001</v>
      </c>
      <c r="S41" s="29"/>
      <c r="U41" s="29">
        <f>+C41-(C$7+F41*C$8)</f>
        <v>5.195800000365125E-2</v>
      </c>
    </row>
    <row r="42" spans="1:21" x14ac:dyDescent="0.2">
      <c r="A42" s="62" t="s">
        <v>1</v>
      </c>
      <c r="B42" s="63" t="s">
        <v>59</v>
      </c>
      <c r="C42" s="64">
        <v>55115.796300000002</v>
      </c>
      <c r="D42" s="64">
        <v>8.9999999999999998E-4</v>
      </c>
      <c r="E42" s="29">
        <f>+(C42-C$7)/C$8</f>
        <v>25113.516278902793</v>
      </c>
      <c r="F42" s="29">
        <f>ROUND(2*E42,0)/2</f>
        <v>25113.5</v>
      </c>
      <c r="G42" s="29">
        <f>+C42-(C$7+F42*C$8)</f>
        <v>9.9755000046570785E-3</v>
      </c>
      <c r="H42" s="29"/>
      <c r="I42" s="29"/>
      <c r="K42" s="29">
        <f>G42</f>
        <v>9.9755000046570785E-3</v>
      </c>
      <c r="L42" s="29"/>
      <c r="M42" s="29"/>
      <c r="N42" s="29"/>
      <c r="O42" s="29">
        <f ca="1">+C$11+C$12*F42</f>
        <v>-3.8374614036925936E-2</v>
      </c>
      <c r="P42" s="29"/>
      <c r="Q42" s="31">
        <f>+C42-15018.5</f>
        <v>40097.296300000002</v>
      </c>
      <c r="S42" s="29"/>
      <c r="U42" s="29"/>
    </row>
    <row r="43" spans="1:21" x14ac:dyDescent="0.2">
      <c r="A43" s="33" t="s">
        <v>143</v>
      </c>
      <c r="B43" s="30" t="s">
        <v>38</v>
      </c>
      <c r="C43" s="34">
        <v>55453.1351</v>
      </c>
      <c r="D43" s="34" t="s">
        <v>71</v>
      </c>
      <c r="E43" s="29">
        <f>+(C43-C$7)/C$8</f>
        <v>25664.01555516028</v>
      </c>
      <c r="F43" s="29">
        <f>ROUND(2*E43,0)/2</f>
        <v>25664</v>
      </c>
      <c r="G43" s="29">
        <f>+C43-(C$7+F43*C$8)</f>
        <v>9.5320000036736019E-3</v>
      </c>
      <c r="H43" s="29"/>
      <c r="I43" s="29"/>
      <c r="K43" s="29">
        <f>G43</f>
        <v>9.5320000036736019E-3</v>
      </c>
      <c r="L43" s="29"/>
      <c r="M43" s="29"/>
      <c r="N43" s="29"/>
      <c r="O43" s="29">
        <f ca="1">+C$11+C$12*F43</f>
        <v>-2.8049264887659076E-2</v>
      </c>
      <c r="P43" s="29"/>
      <c r="Q43" s="31">
        <f>+C43-15018.5</f>
        <v>40434.6351</v>
      </c>
      <c r="S43" s="29"/>
      <c r="U43" s="29"/>
    </row>
    <row r="44" spans="1:21" x14ac:dyDescent="0.2">
      <c r="A44" s="55" t="s">
        <v>58</v>
      </c>
      <c r="B44" s="56" t="s">
        <v>59</v>
      </c>
      <c r="C44" s="57">
        <v>55503.695399999997</v>
      </c>
      <c r="D44" s="57">
        <v>5.9999999999999995E-4</v>
      </c>
      <c r="E44" s="29">
        <f>+(C44-C$7)/C$8</f>
        <v>25746.524322480731</v>
      </c>
      <c r="F44" s="29">
        <f>ROUND(2*E44,0)/2</f>
        <v>25746.5</v>
      </c>
      <c r="G44" s="29">
        <f>+C44-(C$7+F44*C$8)</f>
        <v>1.4904499999829568E-2</v>
      </c>
      <c r="H44" s="29"/>
      <c r="I44" s="29"/>
      <c r="K44" s="29">
        <f>G44</f>
        <v>1.4904499999829568E-2</v>
      </c>
      <c r="L44" s="29"/>
      <c r="M44" s="29"/>
      <c r="N44" s="29"/>
      <c r="O44" s="29">
        <f ca="1">+C$11+C$12*F44</f>
        <v>-2.6501869238586384E-2</v>
      </c>
      <c r="P44" s="29"/>
      <c r="Q44" s="31">
        <f>+C44-15018.5</f>
        <v>40485.195399999997</v>
      </c>
      <c r="S44" s="29"/>
      <c r="U44" s="29"/>
    </row>
    <row r="45" spans="1:21" x14ac:dyDescent="0.2">
      <c r="A45" s="58" t="s">
        <v>58</v>
      </c>
      <c r="B45" s="59" t="s">
        <v>59</v>
      </c>
      <c r="C45" s="58">
        <v>55503.695399999997</v>
      </c>
      <c r="D45" s="58">
        <v>5.9999999999999995E-4</v>
      </c>
      <c r="E45" s="29">
        <f>+(C45-C$7)/C$8</f>
        <v>25746.524322480731</v>
      </c>
      <c r="F45" s="29">
        <f>ROUND(2*E45,0)/2</f>
        <v>25746.5</v>
      </c>
      <c r="G45" s="29">
        <f>+C45-(C$7+F45*C$8)</f>
        <v>1.4904499999829568E-2</v>
      </c>
      <c r="H45" s="29"/>
      <c r="I45" s="29"/>
      <c r="K45" s="29">
        <f>G45</f>
        <v>1.4904499999829568E-2</v>
      </c>
      <c r="L45" s="29"/>
      <c r="M45" s="29"/>
      <c r="N45" s="29"/>
      <c r="O45" s="29">
        <f ca="1">+C$11+C$12*F45</f>
        <v>-2.6501869238586384E-2</v>
      </c>
      <c r="P45" s="29"/>
      <c r="Q45" s="31">
        <f>+C45-15018.5</f>
        <v>40485.195399999997</v>
      </c>
      <c r="S45" s="29"/>
      <c r="U45" s="29"/>
    </row>
    <row r="46" spans="1:21" x14ac:dyDescent="0.2">
      <c r="A46" s="60" t="s">
        <v>155</v>
      </c>
      <c r="B46" s="61" t="s">
        <v>38</v>
      </c>
      <c r="C46" s="36">
        <v>56181.1345</v>
      </c>
      <c r="D46" s="36" t="s">
        <v>71</v>
      </c>
      <c r="E46" s="29">
        <f>+(C46-C$7)/C$8</f>
        <v>26852.029334825973</v>
      </c>
      <c r="F46" s="29">
        <f>ROUND(2*E46,0)/2</f>
        <v>26852</v>
      </c>
      <c r="G46" s="29">
        <f>+C46-(C$7+F46*C$8)</f>
        <v>1.7976000002818182E-2</v>
      </c>
      <c r="H46" s="29"/>
      <c r="I46" s="29"/>
      <c r="K46" s="29">
        <f>G46</f>
        <v>1.7976000002818182E-2</v>
      </c>
      <c r="L46" s="29"/>
      <c r="M46" s="29"/>
      <c r="N46" s="29"/>
      <c r="O46" s="29">
        <f ca="1">+C$11+C$12*F46</f>
        <v>-5.766767541012352E-3</v>
      </c>
      <c r="P46" s="29"/>
      <c r="Q46" s="31">
        <f>+C46-15018.5</f>
        <v>41162.6345</v>
      </c>
      <c r="S46" s="29"/>
      <c r="U46" s="29"/>
    </row>
    <row r="47" spans="1:21" x14ac:dyDescent="0.2">
      <c r="A47" s="62" t="s">
        <v>1</v>
      </c>
      <c r="B47" s="63" t="s">
        <v>59</v>
      </c>
      <c r="C47" s="64">
        <v>57335.648399999998</v>
      </c>
      <c r="D47" s="64">
        <v>2.0000000000000001E-4</v>
      </c>
      <c r="E47" s="29">
        <f>+(C47-C$7)/C$8</f>
        <v>28736.067181581857</v>
      </c>
      <c r="F47" s="29">
        <f>ROUND(2*E47,0)/2</f>
        <v>28736</v>
      </c>
      <c r="G47" s="29">
        <f>+C47-(C$7+F47*C$8)</f>
        <v>4.1168000003381167E-2</v>
      </c>
      <c r="H47" s="29"/>
      <c r="I47" s="29"/>
      <c r="K47" s="29">
        <f>G47</f>
        <v>4.1168000003381167E-2</v>
      </c>
      <c r="L47" s="29"/>
      <c r="M47" s="29"/>
      <c r="N47" s="29"/>
      <c r="O47" s="29">
        <f ca="1">+C$11+C$12*F47</f>
        <v>2.957012219053845E-2</v>
      </c>
      <c r="P47" s="29"/>
      <c r="Q47" s="31">
        <f>+C47-15018.5</f>
        <v>42317.148399999998</v>
      </c>
      <c r="S47" s="29"/>
      <c r="U47" s="29"/>
    </row>
    <row r="48" spans="1:21" x14ac:dyDescent="0.2">
      <c r="A48" s="67" t="s">
        <v>3</v>
      </c>
      <c r="B48" s="68" t="s">
        <v>38</v>
      </c>
      <c r="C48" s="69">
        <v>58021.976999999999</v>
      </c>
      <c r="D48" s="70" t="s">
        <v>159</v>
      </c>
      <c r="E48" s="60">
        <f>+(C48-C$7)/C$8</f>
        <v>29856.078865902837</v>
      </c>
      <c r="F48" s="29">
        <f>ROUND(2*E48,0)/2</f>
        <v>29856</v>
      </c>
      <c r="G48" s="29">
        <f>+C48-(C$7+F48*C$8)</f>
        <v>4.8328000004403293E-2</v>
      </c>
      <c r="H48" s="29"/>
      <c r="I48" s="29"/>
      <c r="K48" s="29">
        <f>G48</f>
        <v>4.8328000004403293E-2</v>
      </c>
      <c r="L48" s="29"/>
      <c r="M48" s="29"/>
      <c r="N48" s="29"/>
      <c r="O48" s="29">
        <f ca="1">+C$11+C$12*F48</f>
        <v>5.0577190396131289E-2</v>
      </c>
      <c r="P48" s="29"/>
      <c r="Q48" s="31">
        <f>+C48-15018.5</f>
        <v>43003.476999999999</v>
      </c>
    </row>
    <row r="49" spans="1:21" x14ac:dyDescent="0.2">
      <c r="A49" s="65" t="s">
        <v>2</v>
      </c>
      <c r="B49" s="66" t="s">
        <v>59</v>
      </c>
      <c r="C49" s="65">
        <v>58052.621599999999</v>
      </c>
      <c r="D49" s="65">
        <v>2.0000000000000001E-4</v>
      </c>
      <c r="E49" s="29">
        <f>+(C49-C$7)/C$8</f>
        <v>29906.087433316963</v>
      </c>
      <c r="F49" s="29">
        <f>ROUND(2*E49,0)/2</f>
        <v>29906</v>
      </c>
      <c r="G49" s="29">
        <f>+C49-(C$7+F49*C$8)</f>
        <v>5.3578000006382354E-2</v>
      </c>
      <c r="H49" s="29"/>
      <c r="I49" s="29"/>
      <c r="K49" s="29">
        <f>G49</f>
        <v>5.3578000006382354E-2</v>
      </c>
      <c r="L49" s="29"/>
      <c r="M49" s="29"/>
      <c r="N49" s="29"/>
      <c r="O49" s="29">
        <f ca="1">+C$11+C$12*F49</f>
        <v>5.1515005941023873E-2</v>
      </c>
      <c r="P49" s="29"/>
      <c r="Q49" s="31">
        <f>+C49-15018.5</f>
        <v>43034.121599999999</v>
      </c>
      <c r="S49" s="29"/>
      <c r="U49" s="29"/>
    </row>
    <row r="50" spans="1:21" x14ac:dyDescent="0.2">
      <c r="A50" s="65" t="s">
        <v>2</v>
      </c>
      <c r="B50" s="66" t="s">
        <v>59</v>
      </c>
      <c r="C50" s="65">
        <v>58083.572899999999</v>
      </c>
      <c r="D50" s="65">
        <v>2.9999999999999997E-4</v>
      </c>
      <c r="E50" s="60">
        <f>+(C50-C$7)/C$8</f>
        <v>29956.596500904885</v>
      </c>
      <c r="F50" s="29">
        <f>ROUND(2*E50,0)/2</f>
        <v>29956.5</v>
      </c>
      <c r="G50" s="29">
        <f>+C50-(C$7+F50*C$8)</f>
        <v>5.913449999934528E-2</v>
      </c>
      <c r="H50" s="29"/>
      <c r="I50" s="29"/>
      <c r="K50" s="29">
        <f>G50</f>
        <v>5.913449999934528E-2</v>
      </c>
      <c r="L50" s="29"/>
      <c r="M50" s="29"/>
      <c r="N50" s="29"/>
      <c r="O50" s="29">
        <f ca="1">+C$11+C$12*F50</f>
        <v>5.2462199641365337E-2</v>
      </c>
      <c r="P50" s="29"/>
      <c r="Q50" s="31">
        <f>+C50-15018.5</f>
        <v>43065.072899999999</v>
      </c>
    </row>
    <row r="51" spans="1:21" x14ac:dyDescent="0.2">
      <c r="A51" s="71" t="s">
        <v>0</v>
      </c>
      <c r="B51" s="66" t="s">
        <v>38</v>
      </c>
      <c r="C51" s="71">
        <v>58393.950999999885</v>
      </c>
      <c r="D51" s="71" t="s">
        <v>18</v>
      </c>
      <c r="E51" s="60">
        <f>+(C51-C$7)/C$8</f>
        <v>30463.098923443034</v>
      </c>
      <c r="F51" s="29">
        <f>ROUND(2*E51,0)/2</f>
        <v>30463</v>
      </c>
      <c r="G51" s="29">
        <f>+C51-(C$7+F51*C$8)</f>
        <v>6.0618999887083191E-2</v>
      </c>
      <c r="H51" s="29"/>
      <c r="I51" s="29"/>
      <c r="K51" s="29">
        <f>G51</f>
        <v>6.0618999887083191E-2</v>
      </c>
      <c r="L51" s="29"/>
      <c r="M51" s="29"/>
      <c r="N51" s="29"/>
      <c r="O51" s="29">
        <f ca="1">+C$11+C$12*F51</f>
        <v>6.1962271111126732E-2</v>
      </c>
      <c r="P51" s="29"/>
      <c r="Q51" s="31">
        <f>+C51-15018.5</f>
        <v>43375.450999999885</v>
      </c>
    </row>
    <row r="52" spans="1:21" x14ac:dyDescent="0.2">
      <c r="A52" s="71" t="s">
        <v>0</v>
      </c>
      <c r="B52" s="66" t="s">
        <v>38</v>
      </c>
      <c r="C52" s="71">
        <v>58393.952000000048</v>
      </c>
      <c r="D52" s="71" t="s">
        <v>18</v>
      </c>
      <c r="E52" s="60">
        <f>+(C52-C$7)/C$8</f>
        <v>30463.100555331708</v>
      </c>
      <c r="F52" s="29">
        <f>ROUND(2*E52,0)/2</f>
        <v>30463</v>
      </c>
      <c r="G52" s="29">
        <f>+C52-(C$7+F52*C$8)</f>
        <v>6.1619000050995965E-2</v>
      </c>
      <c r="H52" s="29"/>
      <c r="I52" s="29"/>
      <c r="K52" s="29">
        <f>G52</f>
        <v>6.1619000050995965E-2</v>
      </c>
      <c r="L52" s="29"/>
      <c r="M52" s="29"/>
      <c r="N52" s="29"/>
      <c r="O52" s="29">
        <f ca="1">+C$11+C$12*F52</f>
        <v>6.1962271111126732E-2</v>
      </c>
      <c r="P52" s="29"/>
      <c r="Q52" s="31">
        <f>+C52-15018.5</f>
        <v>43375.452000000048</v>
      </c>
    </row>
    <row r="53" spans="1:21" x14ac:dyDescent="0.2">
      <c r="A53" s="71" t="s">
        <v>0</v>
      </c>
      <c r="B53" s="66" t="s">
        <v>38</v>
      </c>
      <c r="C53" s="71">
        <v>58393.952000000048</v>
      </c>
      <c r="D53" s="71" t="s">
        <v>18</v>
      </c>
      <c r="E53" s="60">
        <f>+(C53-C$7)/C$8</f>
        <v>30463.100555331708</v>
      </c>
      <c r="F53" s="29">
        <f>ROUND(2*E53,0)/2</f>
        <v>30463</v>
      </c>
      <c r="G53" s="29">
        <f>+C53-(C$7+F53*C$8)</f>
        <v>6.1619000050995965E-2</v>
      </c>
      <c r="H53" s="29"/>
      <c r="I53" s="29"/>
      <c r="K53" s="29">
        <f>G53</f>
        <v>6.1619000050995965E-2</v>
      </c>
      <c r="L53" s="29"/>
      <c r="M53" s="29"/>
      <c r="N53" s="29"/>
      <c r="O53" s="29">
        <f ca="1">+C$11+C$12*F53</f>
        <v>6.1962271111126732E-2</v>
      </c>
      <c r="P53" s="29"/>
      <c r="Q53" s="31">
        <f>+C53-15018.5</f>
        <v>43375.452000000048</v>
      </c>
    </row>
    <row r="54" spans="1:21" x14ac:dyDescent="0.2">
      <c r="A54" s="72" t="s">
        <v>161</v>
      </c>
      <c r="B54" s="73" t="s">
        <v>59</v>
      </c>
      <c r="C54" s="74">
        <v>58787.678699999997</v>
      </c>
      <c r="D54" s="74">
        <v>2.9999999999999997E-4</v>
      </c>
      <c r="E54" s="60">
        <f>+(C54-C$7)/C$8</f>
        <v>31105.61859177822</v>
      </c>
      <c r="F54" s="29">
        <f>ROUND(2*E54,0)/2</f>
        <v>31105.5</v>
      </c>
      <c r="G54" s="29">
        <f>+C54-(C$7+F54*C$8)</f>
        <v>7.2671499998250511E-2</v>
      </c>
      <c r="H54" s="29"/>
      <c r="I54" s="29"/>
      <c r="K54" s="29">
        <f>G54</f>
        <v>7.2671499998250511E-2</v>
      </c>
      <c r="L54" s="29"/>
      <c r="M54" s="29"/>
      <c r="N54" s="29"/>
      <c r="O54" s="29">
        <f ca="1">+C$11+C$12*F54</f>
        <v>7.4013200862995787E-2</v>
      </c>
      <c r="P54" s="29"/>
      <c r="Q54" s="31">
        <f>+C54-15018.5</f>
        <v>43769.178699999997</v>
      </c>
    </row>
    <row r="55" spans="1:21" x14ac:dyDescent="0.2">
      <c r="A55" s="72" t="s">
        <v>160</v>
      </c>
      <c r="B55" s="73" t="s">
        <v>59</v>
      </c>
      <c r="C55" s="74">
        <v>58788.5965</v>
      </c>
      <c r="D55" s="74">
        <v>2.9999999999999997E-4</v>
      </c>
      <c r="E55" s="60">
        <f>+(C55-C$7)/C$8</f>
        <v>31107.116338956283</v>
      </c>
      <c r="F55" s="29">
        <f>ROUND(2*E55,0)/2</f>
        <v>31107</v>
      </c>
      <c r="G55" s="29">
        <f>+C55-(C$7+F55*C$8)</f>
        <v>7.1291000000201166E-2</v>
      </c>
      <c r="H55" s="29"/>
      <c r="I55" s="29"/>
      <c r="K55" s="29">
        <f>G55</f>
        <v>7.1291000000201166E-2</v>
      </c>
      <c r="L55" s="29"/>
      <c r="M55" s="29"/>
      <c r="N55" s="29"/>
      <c r="O55" s="29">
        <f ca="1">+C$11+C$12*F55</f>
        <v>7.404133532934265E-2</v>
      </c>
      <c r="P55" s="29"/>
      <c r="Q55" s="31">
        <f>+C55-15018.5</f>
        <v>43770.0965</v>
      </c>
    </row>
    <row r="56" spans="1:21" ht="12" customHeight="1" x14ac:dyDescent="0.2">
      <c r="A56" s="75" t="s">
        <v>162</v>
      </c>
      <c r="B56" s="76" t="s">
        <v>38</v>
      </c>
      <c r="C56" s="77">
        <v>59132.682200000003</v>
      </c>
      <c r="D56" s="77">
        <v>1E-4</v>
      </c>
      <c r="E56" s="60">
        <f>+(C56-C$7)/C$8</f>
        <v>31668.625803093091</v>
      </c>
      <c r="F56" s="29">
        <f>ROUND(2*E56,0)/2</f>
        <v>31668.5</v>
      </c>
      <c r="G56" s="29">
        <f>+C56-(C$7+F56*C$8)</f>
        <v>7.7090500002668705E-2</v>
      </c>
      <c r="H56" s="29"/>
      <c r="I56" s="29"/>
      <c r="K56" s="29">
        <f>G56</f>
        <v>7.7090500002668705E-2</v>
      </c>
      <c r="L56" s="29"/>
      <c r="M56" s="29"/>
      <c r="N56" s="29"/>
      <c r="O56" s="29">
        <f ca="1">+C$11+C$12*F56</f>
        <v>8.4573003898485766E-2</v>
      </c>
      <c r="P56" s="29"/>
      <c r="Q56" s="31">
        <f>+C56-15018.5</f>
        <v>44114.182200000003</v>
      </c>
    </row>
    <row r="57" spans="1:21" ht="12" customHeight="1" x14ac:dyDescent="0.2">
      <c r="A57" s="78" t="s">
        <v>163</v>
      </c>
      <c r="B57" s="79" t="s">
        <v>38</v>
      </c>
      <c r="C57" s="80">
        <v>59132.682200000003</v>
      </c>
      <c r="D57" s="78">
        <v>1E-4</v>
      </c>
      <c r="E57" s="60">
        <f>+(C57-C$7)/C$8</f>
        <v>31668.625803093091</v>
      </c>
      <c r="F57" s="29">
        <f>ROUND(2*E57,0)/2</f>
        <v>31668.5</v>
      </c>
      <c r="G57" s="29">
        <f>+C57-(C$7+F57*C$8)</f>
        <v>7.7090500002668705E-2</v>
      </c>
      <c r="H57" s="29"/>
      <c r="I57" s="29"/>
      <c r="K57" s="29">
        <f>G57</f>
        <v>7.7090500002668705E-2</v>
      </c>
      <c r="L57" s="29"/>
      <c r="M57" s="29"/>
      <c r="N57" s="29"/>
      <c r="O57" s="29">
        <f ca="1">+C$11+C$12*F57</f>
        <v>8.4573003898485766E-2</v>
      </c>
      <c r="P57" s="29"/>
      <c r="Q57" s="31">
        <f>+C57-15018.5</f>
        <v>44114.182200000003</v>
      </c>
    </row>
    <row r="58" spans="1:21" ht="12" customHeight="1" x14ac:dyDescent="0.2">
      <c r="A58" s="78" t="s">
        <v>164</v>
      </c>
      <c r="B58" s="79" t="s">
        <v>38</v>
      </c>
      <c r="C58" s="80">
        <v>59415.202000000048</v>
      </c>
      <c r="D58" s="78"/>
      <c r="E58" s="60">
        <f>+(C58-C$7)/C$8</f>
        <v>32129.666588880071</v>
      </c>
      <c r="F58" s="29">
        <f>ROUND(2*E58,0)/2</f>
        <v>32129.5</v>
      </c>
      <c r="G58" s="29">
        <f>+C58-(C$7+F58*C$8)</f>
        <v>0.10208350005268585</v>
      </c>
      <c r="H58" s="29"/>
      <c r="I58" s="29"/>
      <c r="K58" s="29">
        <f>G58</f>
        <v>0.10208350005268585</v>
      </c>
      <c r="L58" s="29"/>
      <c r="M58" s="29"/>
      <c r="N58" s="29"/>
      <c r="O58" s="29">
        <f ca="1">+C$11+C$12*F58</f>
        <v>9.3219663222395055E-2</v>
      </c>
      <c r="P58" s="29"/>
      <c r="Q58" s="31">
        <f>+C58-15018.5</f>
        <v>44396.702000000048</v>
      </c>
    </row>
    <row r="59" spans="1:21" ht="12" customHeight="1" x14ac:dyDescent="0.2">
      <c r="A59" s="78" t="s">
        <v>164</v>
      </c>
      <c r="B59" s="79" t="s">
        <v>38</v>
      </c>
      <c r="C59" s="80">
        <v>59415.203000000212</v>
      </c>
      <c r="D59" s="78"/>
      <c r="E59" s="60">
        <f>+(C59-C$7)/C$8</f>
        <v>32129.668220768745</v>
      </c>
      <c r="F59" s="29">
        <f>ROUND(2*E59,0)/2</f>
        <v>32129.5</v>
      </c>
      <c r="G59" s="29">
        <f>+C59-(C$7+F59*C$8)</f>
        <v>0.10308350021659862</v>
      </c>
      <c r="H59" s="29"/>
      <c r="I59" s="29"/>
      <c r="K59" s="29">
        <f>G59</f>
        <v>0.10308350021659862</v>
      </c>
      <c r="L59" s="29"/>
      <c r="M59" s="29"/>
      <c r="N59" s="29"/>
      <c r="O59" s="29">
        <f ca="1">+C$11+C$12*F59</f>
        <v>9.3219663222395055E-2</v>
      </c>
      <c r="P59" s="29"/>
      <c r="Q59" s="31">
        <f>+C59-15018.5</f>
        <v>44396.703000000212</v>
      </c>
    </row>
    <row r="60" spans="1:21" ht="12" customHeight="1" x14ac:dyDescent="0.2">
      <c r="A60" s="81" t="s">
        <v>165</v>
      </c>
      <c r="B60" s="79" t="s">
        <v>59</v>
      </c>
      <c r="C60" s="80">
        <v>59488.725700000003</v>
      </c>
      <c r="D60" s="78">
        <v>5.9999999999999995E-4</v>
      </c>
      <c r="E60" s="60">
        <f>+(C60-C$7)/C$8</f>
        <v>32249.649062398526</v>
      </c>
      <c r="F60" s="29">
        <f>ROUND(2*E60,0)/2</f>
        <v>32249.5</v>
      </c>
      <c r="G60" s="29">
        <f>+C60-(C$7+F60*C$8)</f>
        <v>9.1343500003858935E-2</v>
      </c>
      <c r="H60" s="29"/>
      <c r="I60" s="29"/>
      <c r="K60" s="29">
        <f>G60</f>
        <v>9.1343500003858935E-2</v>
      </c>
      <c r="L60" s="29"/>
      <c r="M60" s="29"/>
      <c r="N60" s="29"/>
      <c r="O60" s="29">
        <f ca="1">+C$11+C$12*F60</f>
        <v>9.5470420530137101E-2</v>
      </c>
      <c r="P60" s="29"/>
      <c r="Q60" s="31">
        <f>+C60-15018.5</f>
        <v>44470.225700000003</v>
      </c>
    </row>
  </sheetData>
  <protectedRanges>
    <protectedRange sqref="A54:D54" name="Range1"/>
  </protectedRanges>
  <sortState xmlns:xlrd2="http://schemas.microsoft.com/office/spreadsheetml/2017/richdata2" ref="A21:AF60">
    <sortCondition ref="C21:C60"/>
  </sortState>
  <phoneticPr fontId="8" type="noConversion"/>
  <hyperlinks>
    <hyperlink ref="H64791" r:id="rId1" display="http://vsolj.cetus-net.org/bulletin.html"/>
    <hyperlink ref="H64784" r:id="rId2" display="http://vsolj.cetus-net.org/bulletin.html"/>
    <hyperlink ref="AP2281" r:id="rId3" display="http://cdsbib.u-strasbg.fr/cgi-bin/cdsbib?1990RMxAA..21..381G"/>
    <hyperlink ref="AP2284" r:id="rId4" display="http://cdsbib.u-strasbg.fr/cgi-bin/cdsbib?1990RMxAA..21..381G"/>
    <hyperlink ref="AP2282" r:id="rId5" display="http://cdsbib.u-strasbg.fr/cgi-bin/cdsbib?1990RMxAA..21..381G"/>
    <hyperlink ref="AP2260" r:id="rId6" display="http://cdsbib.u-strasbg.fr/cgi-bin/cdsbib?1990RMxAA..21..381G"/>
    <hyperlink ref="I64791" r:id="rId7" display="http://vsolj.cetus-net.org/bulletin.html"/>
    <hyperlink ref="AQ2394" r:id="rId8" display="http://cdsbib.u-strasbg.fr/cgi-bin/cdsbib?1990RMxAA..21..381G"/>
    <hyperlink ref="AQ663" r:id="rId9" display="http://cdsbib.u-strasbg.fr/cgi-bin/cdsbib?1990RMxAA..21..381G"/>
    <hyperlink ref="AQ2395" r:id="rId10" display="http://cdsbib.u-strasbg.fr/cgi-bin/cdsbib?1990RMxAA..21..381G"/>
    <hyperlink ref="H64788" r:id="rId11" display="https://www.aavso.org/ejaavso"/>
    <hyperlink ref="H64986" r:id="rId12" display="http://vsolj.cetus-net.org/bulletin.html"/>
    <hyperlink ref="H64979" r:id="rId13" display="https://www.aavso.org/ejaavso"/>
    <hyperlink ref="I64986" r:id="rId14" display="http://vsolj.cetus-net.org/bulletin.html"/>
    <hyperlink ref="AQ58637" r:id="rId15" display="http://cdsbib.u-strasbg.fr/cgi-bin/cdsbib?1990RMxAA..21..381G"/>
    <hyperlink ref="H64983" r:id="rId16" display="https://www.aavso.org/ejaavso"/>
    <hyperlink ref="AP6001" r:id="rId17" display="http://cdsbib.u-strasbg.fr/cgi-bin/cdsbib?1990RMxAA..21..381G"/>
    <hyperlink ref="AP6004" r:id="rId18" display="http://cdsbib.u-strasbg.fr/cgi-bin/cdsbib?1990RMxAA..21..381G"/>
    <hyperlink ref="AP6002" r:id="rId19" display="http://cdsbib.u-strasbg.fr/cgi-bin/cdsbib?1990RMxAA..21..381G"/>
    <hyperlink ref="AP5986" r:id="rId20" display="http://cdsbib.u-strasbg.fr/cgi-bin/cdsbib?1990RMxAA..21..381G"/>
    <hyperlink ref="AQ6215" r:id="rId21" display="http://cdsbib.u-strasbg.fr/cgi-bin/cdsbib?1990RMxAA..21..381G"/>
    <hyperlink ref="AQ6219" r:id="rId22" display="http://cdsbib.u-strasbg.fr/cgi-bin/cdsbib?1990RMxAA..21..381G"/>
    <hyperlink ref="AQ363" r:id="rId23" display="http://cdsbib.u-strasbg.fr/cgi-bin/cdsbib?1990RMxAA..21..381G"/>
    <hyperlink ref="I3107" r:id="rId24" display="http://vsolj.cetus-net.org/bulletin.html"/>
    <hyperlink ref="H3107" r:id="rId25" display="http://vsolj.cetus-net.org/bulletin.html"/>
    <hyperlink ref="AQ1024" r:id="rId26" display="http://cdsbib.u-strasbg.fr/cgi-bin/cdsbib?1990RMxAA..21..381G"/>
    <hyperlink ref="AQ1023" r:id="rId27" display="http://cdsbib.u-strasbg.fr/cgi-bin/cdsbib?1990RMxAA..21..381G"/>
    <hyperlink ref="AP4277" r:id="rId28" display="http://cdsbib.u-strasbg.fr/cgi-bin/cdsbib?1990RMxAA..21..381G"/>
    <hyperlink ref="AP4295" r:id="rId29" display="http://cdsbib.u-strasbg.fr/cgi-bin/cdsbib?1990RMxAA..21..381G"/>
    <hyperlink ref="AP4296" r:id="rId30" display="http://cdsbib.u-strasbg.fr/cgi-bin/cdsbib?1990RMxAA..21..381G"/>
    <hyperlink ref="AP4292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4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D1" s="9"/>
    </row>
    <row r="2" spans="1:7" x14ac:dyDescent="0.2">
      <c r="A2" t="s">
        <v>28</v>
      </c>
      <c r="B2" s="12" t="s">
        <v>44</v>
      </c>
    </row>
    <row r="3" spans="1:7" x14ac:dyDescent="0.2">
      <c r="A3" s="38" t="s">
        <v>55</v>
      </c>
    </row>
    <row r="4" spans="1:7" x14ac:dyDescent="0.2">
      <c r="A4" s="6" t="s">
        <v>4</v>
      </c>
      <c r="C4" s="2">
        <v>39726.559999999998</v>
      </c>
      <c r="D4" s="3">
        <v>0.61299000000000003</v>
      </c>
    </row>
    <row r="6" spans="1:7" x14ac:dyDescent="0.2">
      <c r="A6" s="6" t="s">
        <v>5</v>
      </c>
    </row>
    <row r="7" spans="1:7" x14ac:dyDescent="0.2">
      <c r="A7" t="s">
        <v>6</v>
      </c>
      <c r="C7">
        <f>+C4</f>
        <v>39726.559999999998</v>
      </c>
    </row>
    <row r="8" spans="1:7" x14ac:dyDescent="0.2">
      <c r="A8" t="s">
        <v>7</v>
      </c>
      <c r="C8">
        <f>+D4</f>
        <v>0.61299000000000003</v>
      </c>
    </row>
    <row r="9" spans="1:7" x14ac:dyDescent="0.2">
      <c r="A9" s="13" t="s">
        <v>46</v>
      </c>
      <c r="B9" s="10"/>
      <c r="C9" s="14">
        <v>8</v>
      </c>
      <c r="D9" s="10" t="s">
        <v>47</v>
      </c>
      <c r="E9" s="10"/>
    </row>
    <row r="10" spans="1:7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7" x14ac:dyDescent="0.2">
      <c r="A11" s="10" t="s">
        <v>20</v>
      </c>
      <c r="B11" s="10"/>
      <c r="C11" s="15">
        <f ca="1">INTERCEPT(INDIRECT($G$11):G992,INDIRECT($F$11):F992)</f>
        <v>1.6207624422637172E-2</v>
      </c>
      <c r="D11" s="4"/>
      <c r="E11" s="10"/>
      <c r="F11" s="16" t="str">
        <f>"F"&amp;E19</f>
        <v>F21</v>
      </c>
      <c r="G11" s="11" t="str">
        <f>"G"&amp;E19</f>
        <v>G21</v>
      </c>
    </row>
    <row r="12" spans="1:7" x14ac:dyDescent="0.2">
      <c r="A12" s="10" t="s">
        <v>21</v>
      </c>
      <c r="B12" s="10"/>
      <c r="C12" s="15">
        <f ca="1">SLOPE(INDIRECT($G$11):G992,INDIRECT($F$11):F992)</f>
        <v>-3.63303416344998E-6</v>
      </c>
      <c r="D12" s="4"/>
      <c r="E12" s="10"/>
    </row>
    <row r="13" spans="1:7" x14ac:dyDescent="0.2">
      <c r="A13" s="10" t="s">
        <v>23</v>
      </c>
      <c r="B13" s="10"/>
      <c r="C13" s="4" t="s">
        <v>18</v>
      </c>
      <c r="D13" s="4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7" t="s">
        <v>22</v>
      </c>
      <c r="B15" s="10"/>
      <c r="C15" s="18">
        <f ca="1">(C7+C11)+(C8+C12)*INT(MAX(F21:F3533))</f>
        <v>54028.774121671318</v>
      </c>
      <c r="D15" s="19" t="s">
        <v>48</v>
      </c>
      <c r="E15" s="20">
        <f ca="1">TODAY()+15018.5-B9/24</f>
        <v>59945.5</v>
      </c>
    </row>
    <row r="16" spans="1:7" x14ac:dyDescent="0.2">
      <c r="A16" s="21" t="s">
        <v>8</v>
      </c>
      <c r="B16" s="10"/>
      <c r="C16" s="22">
        <f ca="1">+C8+C12</f>
        <v>0.61298636696583664</v>
      </c>
      <c r="D16" s="19" t="s">
        <v>49</v>
      </c>
      <c r="E16" s="20">
        <f ca="1">ROUND(2*(E15-C15)/C16,0)/2+1</f>
        <v>9653.5</v>
      </c>
    </row>
    <row r="17" spans="1:30" ht="13.5" thickBot="1" x14ac:dyDescent="0.25">
      <c r="A17" s="19" t="s">
        <v>43</v>
      </c>
      <c r="B17" s="10"/>
      <c r="C17" s="10">
        <f>COUNT(C21:C2191)</f>
        <v>13</v>
      </c>
      <c r="D17" s="19" t="s">
        <v>50</v>
      </c>
      <c r="E17" s="23">
        <f ca="1">+C15+C16*E16-15018.5-C9/24</f>
        <v>44927.404681842687</v>
      </c>
    </row>
    <row r="18" spans="1:30" x14ac:dyDescent="0.2">
      <c r="A18" s="21" t="s">
        <v>9</v>
      </c>
      <c r="B18" s="10"/>
      <c r="C18" s="24">
        <f ca="1">+C15</f>
        <v>54028.774121671318</v>
      </c>
      <c r="D18" s="25">
        <f ca="1">+C16</f>
        <v>0.61298636696583664</v>
      </c>
      <c r="E18" s="26" t="s">
        <v>51</v>
      </c>
    </row>
    <row r="19" spans="1:30" ht="13.5" thickTop="1" x14ac:dyDescent="0.2">
      <c r="A19" s="27" t="s">
        <v>52</v>
      </c>
      <c r="B19"/>
      <c r="E19" s="28">
        <v>21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36</v>
      </c>
      <c r="J20" s="8" t="s">
        <v>39</v>
      </c>
      <c r="K20" s="8" t="s">
        <v>41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31" si="0">+(C21-C$7)/C$8</f>
        <v>0</v>
      </c>
      <c r="F21" s="29">
        <f t="shared" ref="F21:F33" si="1">ROUND(2*E21,0)/2</f>
        <v>0</v>
      </c>
      <c r="G21" s="29">
        <f t="shared" ref="G21:G27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31" ca="1" si="3">+C$11+C$12*F21</f>
        <v>1.6207624422637172E-2</v>
      </c>
      <c r="P21" s="29"/>
      <c r="Q21" s="31">
        <f t="shared" ref="Q21:Q31" si="4">+C21-15018.5</f>
        <v>24708.059999999998</v>
      </c>
      <c r="R21" s="29"/>
      <c r="S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2975.5102040816305</v>
      </c>
      <c r="F22" s="29">
        <f t="shared" si="1"/>
        <v>2975.5</v>
      </c>
      <c r="G22" s="29">
        <f t="shared" si="2"/>
        <v>6.2550000002374873E-3</v>
      </c>
      <c r="H22" s="29"/>
      <c r="I22" s="29">
        <f>G22</f>
        <v>6.2550000002374873E-3</v>
      </c>
      <c r="J22" s="29"/>
      <c r="K22" s="29"/>
      <c r="L22" s="29"/>
      <c r="M22" s="29"/>
      <c r="N22" s="29"/>
      <c r="O22" s="29">
        <f t="shared" ca="1" si="3"/>
        <v>5.3975312692917561E-3</v>
      </c>
      <c r="P22" s="29"/>
      <c r="Q22" s="31">
        <f t="shared" si="4"/>
        <v>26532.017999999996</v>
      </c>
      <c r="R22" s="29"/>
      <c r="S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2975.5102040816305</v>
      </c>
      <c r="F23" s="29">
        <f t="shared" si="1"/>
        <v>2975.5</v>
      </c>
      <c r="G23" s="29">
        <f t="shared" si="2"/>
        <v>6.2550000002374873E-3</v>
      </c>
      <c r="H23" s="29"/>
      <c r="I23" s="29">
        <f>G23</f>
        <v>6.2550000002374873E-3</v>
      </c>
      <c r="J23" s="29"/>
      <c r="K23" s="29"/>
      <c r="L23" s="29"/>
      <c r="M23" s="29"/>
      <c r="N23" s="29"/>
      <c r="O23" s="29">
        <f t="shared" ca="1" si="3"/>
        <v>5.3975312692917561E-3</v>
      </c>
      <c r="P23" s="29"/>
      <c r="Q23" s="31">
        <f t="shared" si="4"/>
        <v>26532.017999999996</v>
      </c>
      <c r="R23" s="29"/>
      <c r="S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3000.0000000000018</v>
      </c>
      <c r="F24" s="29">
        <f t="shared" si="1"/>
        <v>3000</v>
      </c>
      <c r="G24" s="29">
        <f t="shared" si="2"/>
        <v>0</v>
      </c>
      <c r="H24" s="29"/>
      <c r="I24" s="29">
        <f>G24</f>
        <v>0</v>
      </c>
      <c r="J24" s="29"/>
      <c r="K24" s="29"/>
      <c r="L24" s="29"/>
      <c r="M24" s="29"/>
      <c r="N24" s="29"/>
      <c r="O24" s="29">
        <f t="shared" ca="1" si="3"/>
        <v>5.3085219322872319E-3</v>
      </c>
      <c r="P24" s="29"/>
      <c r="Q24" s="31">
        <f t="shared" si="4"/>
        <v>26547.03</v>
      </c>
      <c r="R24" s="29"/>
      <c r="S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3090.9933277867494</v>
      </c>
      <c r="F25" s="29">
        <f t="shared" si="1"/>
        <v>3091</v>
      </c>
      <c r="G25" s="29">
        <f t="shared" si="2"/>
        <v>-4.0900000021792948E-3</v>
      </c>
      <c r="H25" s="29"/>
      <c r="I25" s="29">
        <f>G25</f>
        <v>-4.0900000021792948E-3</v>
      </c>
      <c r="J25" s="29"/>
      <c r="K25" s="29"/>
      <c r="L25" s="29"/>
      <c r="M25" s="29"/>
      <c r="N25" s="29"/>
      <c r="O25" s="29">
        <f t="shared" ca="1" si="3"/>
        <v>4.9779158234132832E-3</v>
      </c>
      <c r="P25" s="29"/>
      <c r="Q25" s="31">
        <f t="shared" si="4"/>
        <v>26602.807999999997</v>
      </c>
      <c r="R25" s="29"/>
      <c r="S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17930.041273103969</v>
      </c>
      <c r="F26" s="29">
        <f t="shared" si="1"/>
        <v>17930</v>
      </c>
      <c r="G26" s="29">
        <f t="shared" si="2"/>
        <v>2.5300000001152512E-2</v>
      </c>
      <c r="H26" s="29"/>
      <c r="I26" s="29"/>
      <c r="J26" s="29">
        <f>G26</f>
        <v>2.5300000001152512E-2</v>
      </c>
      <c r="K26" s="29"/>
      <c r="L26" s="29"/>
      <c r="M26" s="29"/>
      <c r="N26" s="29"/>
      <c r="O26" s="29">
        <f t="shared" ca="1" si="3"/>
        <v>-4.8932678128020969E-2</v>
      </c>
      <c r="P26" s="29"/>
      <c r="Q26" s="31">
        <f t="shared" si="4"/>
        <v>35698.995999999999</v>
      </c>
      <c r="R26" s="29"/>
      <c r="S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20883.060082546213</v>
      </c>
      <c r="F27" s="29">
        <f t="shared" si="1"/>
        <v>20883</v>
      </c>
      <c r="G27" s="29">
        <f t="shared" si="2"/>
        <v>3.6830000004556496E-2</v>
      </c>
      <c r="H27" s="29"/>
      <c r="I27" s="29"/>
      <c r="J27" s="29">
        <f>G27</f>
        <v>3.6830000004556496E-2</v>
      </c>
      <c r="K27" s="29"/>
      <c r="L27" s="29"/>
      <c r="M27" s="29"/>
      <c r="N27" s="29"/>
      <c r="O27" s="29">
        <f t="shared" ca="1" si="3"/>
        <v>-5.9661028012688765E-2</v>
      </c>
      <c r="P27" s="29"/>
      <c r="Q27" s="31">
        <f t="shared" si="4"/>
        <v>37509.167000000001</v>
      </c>
      <c r="R27" s="29"/>
      <c r="S27" s="29"/>
    </row>
    <row r="28" spans="1:30" x14ac:dyDescent="0.2">
      <c r="A28" s="32" t="s">
        <v>42</v>
      </c>
      <c r="B28" s="32"/>
      <c r="C28" s="34">
        <v>52875.115999999922</v>
      </c>
      <c r="D28" s="34"/>
      <c r="E28" s="29">
        <f t="shared" si="0"/>
        <v>21449.870307835241</v>
      </c>
      <c r="F28" s="29">
        <f t="shared" si="1"/>
        <v>21450</v>
      </c>
      <c r="G28" s="29"/>
      <c r="H28" s="29"/>
      <c r="I28" s="29"/>
      <c r="J28" s="29"/>
      <c r="K28" s="33">
        <v>-7.9500000079860911E-2</v>
      </c>
      <c r="L28" s="29"/>
      <c r="M28" s="29"/>
      <c r="N28" s="29"/>
      <c r="O28" s="29">
        <f t="shared" ca="1" si="3"/>
        <v>-6.1720958383364895E-2</v>
      </c>
      <c r="P28" s="29"/>
      <c r="Q28" s="31">
        <f t="shared" si="4"/>
        <v>37856.615999999922</v>
      </c>
      <c r="R28" s="29"/>
      <c r="S28" s="29"/>
    </row>
    <row r="29" spans="1:30" x14ac:dyDescent="0.2">
      <c r="A29" s="32" t="s">
        <v>42</v>
      </c>
      <c r="B29" s="32"/>
      <c r="C29" s="34">
        <v>53285.080800000113</v>
      </c>
      <c r="D29" s="34"/>
      <c r="E29" s="29">
        <f t="shared" si="0"/>
        <v>22118.665557350225</v>
      </c>
      <c r="F29" s="29">
        <f t="shared" si="1"/>
        <v>22118.5</v>
      </c>
      <c r="G29" s="29"/>
      <c r="H29" s="29"/>
      <c r="I29" s="29"/>
      <c r="J29" s="29"/>
      <c r="K29" s="33">
        <v>0.10148500011564465</v>
      </c>
      <c r="L29" s="29"/>
      <c r="M29" s="29"/>
      <c r="N29" s="29"/>
      <c r="O29" s="29">
        <f t="shared" ca="1" si="3"/>
        <v>-6.4149641721631206E-2</v>
      </c>
      <c r="P29" s="29"/>
      <c r="Q29" s="31">
        <f t="shared" si="4"/>
        <v>38266.580800000113</v>
      </c>
      <c r="R29" s="29"/>
      <c r="S29" s="29"/>
    </row>
    <row r="30" spans="1:30" x14ac:dyDescent="0.2">
      <c r="A30" s="32" t="s">
        <v>42</v>
      </c>
      <c r="B30" s="32"/>
      <c r="C30" s="34">
        <v>53301.008899999782</v>
      </c>
      <c r="D30" s="34"/>
      <c r="E30" s="29">
        <f t="shared" si="0"/>
        <v>22144.649831155133</v>
      </c>
      <c r="F30" s="29">
        <f t="shared" si="1"/>
        <v>22144.5</v>
      </c>
      <c r="G30" s="29"/>
      <c r="H30" s="29"/>
      <c r="I30" s="29"/>
      <c r="J30" s="29"/>
      <c r="K30" s="33">
        <v>9.1844999784370884E-2</v>
      </c>
      <c r="L30" s="29"/>
      <c r="M30" s="29"/>
      <c r="N30" s="29"/>
      <c r="O30" s="29">
        <f t="shared" ca="1" si="3"/>
        <v>-6.4244100609880922E-2</v>
      </c>
      <c r="P30" s="29"/>
      <c r="Q30" s="31">
        <f t="shared" si="4"/>
        <v>38282.508899999782</v>
      </c>
      <c r="R30" s="29"/>
      <c r="S30" s="29"/>
    </row>
    <row r="31" spans="1:30" x14ac:dyDescent="0.2">
      <c r="A31" s="32" t="s">
        <v>42</v>
      </c>
      <c r="B31" s="32"/>
      <c r="C31" s="34">
        <v>53312.970600000117</v>
      </c>
      <c r="D31" s="34"/>
      <c r="E31" s="29">
        <f t="shared" si="0"/>
        <v>22164.163526321994</v>
      </c>
      <c r="F31" s="29">
        <f t="shared" si="1"/>
        <v>22164</v>
      </c>
      <c r="G31" s="29"/>
      <c r="H31" s="29"/>
      <c r="I31" s="29"/>
      <c r="J31" s="29"/>
      <c r="K31" s="33">
        <v>0.10024000011617318</v>
      </c>
      <c r="L31" s="29"/>
      <c r="M31" s="29"/>
      <c r="N31" s="29"/>
      <c r="O31" s="29">
        <f t="shared" ca="1" si="3"/>
        <v>-6.4314944776068195E-2</v>
      </c>
      <c r="P31" s="29"/>
      <c r="Q31" s="31">
        <f t="shared" si="4"/>
        <v>38294.470600000117</v>
      </c>
      <c r="R31" s="29"/>
      <c r="S31" s="29"/>
    </row>
    <row r="32" spans="1:30" x14ac:dyDescent="0.2">
      <c r="A32" s="35" t="s">
        <v>53</v>
      </c>
      <c r="B32" s="30" t="s">
        <v>38</v>
      </c>
      <c r="C32" s="36">
        <v>54005.718099999998</v>
      </c>
      <c r="D32" s="36">
        <v>2.7000000000000001E-3</v>
      </c>
      <c r="E32" s="29">
        <f>+(C32-C$7)/C$8</f>
        <v>23294.275763063019</v>
      </c>
      <c r="F32" s="29">
        <f t="shared" si="1"/>
        <v>23294.5</v>
      </c>
      <c r="G32" s="29">
        <f>+C32-(C$7+F32*C$8)</f>
        <v>-0.13745500000368338</v>
      </c>
      <c r="H32" s="29"/>
      <c r="I32" s="29"/>
      <c r="J32" s="29">
        <f>G32</f>
        <v>-0.13745500000368338</v>
      </c>
      <c r="K32" s="29"/>
      <c r="L32" s="29"/>
      <c r="M32" s="29"/>
      <c r="N32" s="29"/>
      <c r="O32" s="29">
        <f ca="1">+C$11+C$12*F32</f>
        <v>-6.8422089897848398E-2</v>
      </c>
      <c r="P32" s="29"/>
      <c r="Q32" s="31">
        <f>+C32-15018.5</f>
        <v>38987.218099999998</v>
      </c>
      <c r="R32" s="29"/>
      <c r="S32" s="29"/>
    </row>
    <row r="33" spans="1:19" x14ac:dyDescent="0.2">
      <c r="A33" s="35" t="s">
        <v>53</v>
      </c>
      <c r="B33" s="30" t="s">
        <v>38</v>
      </c>
      <c r="C33" s="36">
        <v>54028.701300000001</v>
      </c>
      <c r="D33" s="36">
        <v>1.6000000000000001E-3</v>
      </c>
      <c r="E33" s="29">
        <f>+(C33-C$7)/C$8</f>
        <v>23331.76936002219</v>
      </c>
      <c r="F33" s="29">
        <f t="shared" si="1"/>
        <v>23332</v>
      </c>
      <c r="G33" s="29">
        <f>+C33-(C$7+F33*C$8)</f>
        <v>-0.14138000000093598</v>
      </c>
      <c r="H33" s="29"/>
      <c r="I33" s="29"/>
      <c r="J33" s="29">
        <f>G33</f>
        <v>-0.14138000000093598</v>
      </c>
      <c r="K33" s="29"/>
      <c r="L33" s="29"/>
      <c r="M33" s="29"/>
      <c r="N33" s="29"/>
      <c r="O33" s="29">
        <f ca="1">+C$11+C$12*F33</f>
        <v>-6.8558328678977765E-2</v>
      </c>
      <c r="P33" s="29"/>
      <c r="Q33" s="31">
        <f>+C33-15018.5</f>
        <v>39010.201300000001</v>
      </c>
      <c r="R33" s="29"/>
      <c r="S33" s="29"/>
    </row>
    <row r="34" spans="1:19" x14ac:dyDescent="0.2">
      <c r="A34" s="29"/>
      <c r="B34" s="30"/>
      <c r="C34" s="34"/>
      <c r="D34" s="3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29"/>
      <c r="B35" s="30"/>
      <c r="C35" s="34"/>
      <c r="D35" s="34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29"/>
      <c r="B36" s="30"/>
      <c r="C36" s="34"/>
      <c r="D36" s="3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29"/>
      <c r="B37" s="30"/>
      <c r="C37" s="34"/>
      <c r="D37" s="3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29"/>
      <c r="B38" s="30"/>
      <c r="C38" s="34"/>
      <c r="D38" s="3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29"/>
      <c r="B39" s="30"/>
      <c r="C39" s="34"/>
      <c r="D39" s="34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29"/>
      <c r="B40" s="30"/>
      <c r="C40" s="34"/>
      <c r="D40" s="34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29"/>
      <c r="B41" s="30"/>
      <c r="C41" s="34"/>
      <c r="D41" s="34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29"/>
      <c r="B42" s="30"/>
      <c r="C42" s="34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29"/>
      <c r="B43" s="30"/>
      <c r="C43" s="34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29"/>
      <c r="B44" s="30"/>
      <c r="C44" s="34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29"/>
      <c r="B45" s="30"/>
      <c r="C45" s="29"/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29"/>
      <c r="B46" s="30"/>
      <c r="C46" s="29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9"/>
  <sheetViews>
    <sheetView topLeftCell="A4" workbookViewId="0">
      <selection activeCell="A18" sqref="A18:D26"/>
    </sheetView>
  </sheetViews>
  <sheetFormatPr defaultRowHeight="12.75" x14ac:dyDescent="0.2"/>
  <cols>
    <col min="1" max="1" width="19.7109375" style="42" customWidth="1"/>
    <col min="2" max="2" width="4.42578125" style="10" customWidth="1"/>
    <col min="3" max="3" width="12.7109375" style="4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61</v>
      </c>
      <c r="I1" s="43" t="s">
        <v>62</v>
      </c>
      <c r="J1" s="44" t="s">
        <v>63</v>
      </c>
    </row>
    <row r="2" spans="1:16" x14ac:dyDescent="0.2">
      <c r="I2" s="45" t="s">
        <v>64</v>
      </c>
      <c r="J2" s="46" t="s">
        <v>65</v>
      </c>
    </row>
    <row r="3" spans="1:16" x14ac:dyDescent="0.2">
      <c r="A3" s="47" t="s">
        <v>66</v>
      </c>
      <c r="I3" s="45" t="s">
        <v>67</v>
      </c>
      <c r="J3" s="46" t="s">
        <v>68</v>
      </c>
    </row>
    <row r="4" spans="1:16" x14ac:dyDescent="0.2">
      <c r="I4" s="45" t="s">
        <v>69</v>
      </c>
      <c r="J4" s="46" t="s">
        <v>68</v>
      </c>
    </row>
    <row r="5" spans="1:16" ht="13.5" thickBot="1" x14ac:dyDescent="0.25">
      <c r="I5" s="48" t="s">
        <v>70</v>
      </c>
      <c r="J5" s="49" t="s">
        <v>71</v>
      </c>
    </row>
    <row r="10" spans="1:16" ht="13.5" thickBot="1" x14ac:dyDescent="0.25"/>
    <row r="11" spans="1:16" ht="12.75" customHeight="1" thickBot="1" x14ac:dyDescent="0.25">
      <c r="A11" s="42" t="str">
        <f t="shared" ref="A11:A26" si="0">P11</f>
        <v> BAN 20.222 </v>
      </c>
      <c r="B11" s="4" t="str">
        <f t="shared" ref="B11:B26" si="1">IF(H11=INT(H11),"I","II")</f>
        <v>I</v>
      </c>
      <c r="C11" s="42">
        <f t="shared" ref="C11:C26" si="2">1*G11</f>
        <v>39726.559999999998</v>
      </c>
      <c r="D11" s="10" t="str">
        <f t="shared" ref="D11:D26" si="3">VLOOKUP(F11,I$1:J$5,2,FALSE)</f>
        <v>vis</v>
      </c>
      <c r="E11" s="50">
        <f>VLOOKUP(C11,Active!C$21:E$971,3,FALSE)</f>
        <v>0</v>
      </c>
      <c r="F11" s="4" t="s">
        <v>70</v>
      </c>
      <c r="G11" s="10" t="str">
        <f t="shared" ref="G11:G26" si="4">MID(I11,3,LEN(I11)-3)</f>
        <v>39726.56</v>
      </c>
      <c r="H11" s="42">
        <f t="shared" ref="H11:H26" si="5">1*K11</f>
        <v>-22152</v>
      </c>
      <c r="I11" s="51" t="s">
        <v>72</v>
      </c>
      <c r="J11" s="52" t="s">
        <v>73</v>
      </c>
      <c r="K11" s="51">
        <v>-22152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thickBot="1" x14ac:dyDescent="0.25">
      <c r="A12" s="42" t="str">
        <f t="shared" si="0"/>
        <v> BBS 6 </v>
      </c>
      <c r="B12" s="4" t="str">
        <f t="shared" si="1"/>
        <v>I</v>
      </c>
      <c r="C12" s="42">
        <f t="shared" si="2"/>
        <v>41621.307999999997</v>
      </c>
      <c r="D12" s="10" t="str">
        <f t="shared" si="3"/>
        <v>vis</v>
      </c>
      <c r="E12" s="50">
        <f>VLOOKUP(C12,Active!C$21:E$971,3,FALSE)</f>
        <v>3092.0172914895384</v>
      </c>
      <c r="F12" s="4" t="s">
        <v>70</v>
      </c>
      <c r="G12" s="10" t="str">
        <f t="shared" si="4"/>
        <v>41621.308</v>
      </c>
      <c r="H12" s="42">
        <f t="shared" si="5"/>
        <v>-19060</v>
      </c>
      <c r="I12" s="51" t="s">
        <v>79</v>
      </c>
      <c r="J12" s="52" t="s">
        <v>80</v>
      </c>
      <c r="K12" s="51">
        <v>-19060</v>
      </c>
      <c r="L12" s="51" t="s">
        <v>81</v>
      </c>
      <c r="M12" s="52" t="s">
        <v>82</v>
      </c>
      <c r="N12" s="52"/>
      <c r="O12" s="53" t="s">
        <v>83</v>
      </c>
      <c r="P12" s="53" t="s">
        <v>84</v>
      </c>
    </row>
    <row r="13" spans="1:16" ht="12.75" customHeight="1" thickBot="1" x14ac:dyDescent="0.25">
      <c r="A13" s="42" t="str">
        <f t="shared" si="0"/>
        <v>BAVM 117 </v>
      </c>
      <c r="B13" s="4" t="str">
        <f t="shared" si="1"/>
        <v>I</v>
      </c>
      <c r="C13" s="42">
        <f t="shared" si="2"/>
        <v>50717.495999999999</v>
      </c>
      <c r="D13" s="10" t="str">
        <f t="shared" si="3"/>
        <v>vis</v>
      </c>
      <c r="E13" s="50">
        <f>VLOOKUP(C13,Active!C$21:E$971,3,FALSE)</f>
        <v>17935.981017874077</v>
      </c>
      <c r="F13" s="4" t="s">
        <v>70</v>
      </c>
      <c r="G13" s="10" t="str">
        <f t="shared" si="4"/>
        <v>50717.4960</v>
      </c>
      <c r="H13" s="42">
        <f t="shared" si="5"/>
        <v>-4216</v>
      </c>
      <c r="I13" s="51" t="s">
        <v>85</v>
      </c>
      <c r="J13" s="52" t="s">
        <v>86</v>
      </c>
      <c r="K13" s="51">
        <v>-4216</v>
      </c>
      <c r="L13" s="51" t="s">
        <v>87</v>
      </c>
      <c r="M13" s="52" t="s">
        <v>75</v>
      </c>
      <c r="N13" s="52" t="s">
        <v>88</v>
      </c>
      <c r="O13" s="53" t="s">
        <v>89</v>
      </c>
      <c r="P13" s="54" t="s">
        <v>90</v>
      </c>
    </row>
    <row r="14" spans="1:16" ht="12.75" customHeight="1" thickBot="1" x14ac:dyDescent="0.25">
      <c r="A14" s="42" t="str">
        <f t="shared" si="0"/>
        <v>IBVS 5378 </v>
      </c>
      <c r="B14" s="4" t="str">
        <f t="shared" si="1"/>
        <v>I</v>
      </c>
      <c r="C14" s="42">
        <f t="shared" si="2"/>
        <v>52527.667000000001</v>
      </c>
      <c r="D14" s="10" t="str">
        <f t="shared" si="3"/>
        <v>vis</v>
      </c>
      <c r="E14" s="50">
        <f>VLOOKUP(C14,Active!C$21:E$971,3,FALSE)</f>
        <v>20889.97808373873</v>
      </c>
      <c r="F14" s="4" t="s">
        <v>70</v>
      </c>
      <c r="G14" s="10" t="str">
        <f t="shared" si="4"/>
        <v>52527.6670</v>
      </c>
      <c r="H14" s="42">
        <f t="shared" si="5"/>
        <v>-1262</v>
      </c>
      <c r="I14" s="51" t="s">
        <v>91</v>
      </c>
      <c r="J14" s="52" t="s">
        <v>92</v>
      </c>
      <c r="K14" s="51">
        <v>-1262</v>
      </c>
      <c r="L14" s="51" t="s">
        <v>93</v>
      </c>
      <c r="M14" s="52" t="s">
        <v>75</v>
      </c>
      <c r="N14" s="52" t="s">
        <v>76</v>
      </c>
      <c r="O14" s="53" t="s">
        <v>94</v>
      </c>
      <c r="P14" s="54" t="s">
        <v>95</v>
      </c>
    </row>
    <row r="15" spans="1:16" ht="12.75" customHeight="1" thickBot="1" x14ac:dyDescent="0.25">
      <c r="A15" s="42" t="str">
        <f t="shared" si="0"/>
        <v>IBVS 5843 </v>
      </c>
      <c r="B15" s="4" t="str">
        <f t="shared" si="1"/>
        <v>I</v>
      </c>
      <c r="C15" s="42">
        <f t="shared" si="2"/>
        <v>54005.718099999998</v>
      </c>
      <c r="D15" s="10" t="str">
        <f t="shared" si="3"/>
        <v>vis</v>
      </c>
      <c r="E15" s="50">
        <f>VLOOKUP(C15,Active!C$21:E$971,3,FALSE)</f>
        <v>23301.992535742436</v>
      </c>
      <c r="F15" s="4" t="s">
        <v>70</v>
      </c>
      <c r="G15" s="10" t="str">
        <f t="shared" si="4"/>
        <v>54005.7181</v>
      </c>
      <c r="H15" s="42">
        <f t="shared" si="5"/>
        <v>1150</v>
      </c>
      <c r="I15" s="51" t="s">
        <v>111</v>
      </c>
      <c r="J15" s="52" t="s">
        <v>112</v>
      </c>
      <c r="K15" s="51">
        <v>1150</v>
      </c>
      <c r="L15" s="51" t="s">
        <v>113</v>
      </c>
      <c r="M15" s="52" t="s">
        <v>114</v>
      </c>
      <c r="N15" s="52" t="s">
        <v>115</v>
      </c>
      <c r="O15" s="53" t="s">
        <v>116</v>
      </c>
      <c r="P15" s="54" t="s">
        <v>117</v>
      </c>
    </row>
    <row r="16" spans="1:16" ht="12.75" customHeight="1" thickBot="1" x14ac:dyDescent="0.25">
      <c r="A16" s="42" t="str">
        <f t="shared" si="0"/>
        <v>IBVS 5843 </v>
      </c>
      <c r="B16" s="4" t="str">
        <f t="shared" si="1"/>
        <v>II</v>
      </c>
      <c r="C16" s="42">
        <f t="shared" si="2"/>
        <v>54028.701300000001</v>
      </c>
      <c r="D16" s="10" t="str">
        <f t="shared" si="3"/>
        <v>vis</v>
      </c>
      <c r="E16" s="50">
        <f>VLOOKUP(C16,Active!C$21:E$971,3,FALSE)</f>
        <v>23339.498553330934</v>
      </c>
      <c r="F16" s="4" t="s">
        <v>70</v>
      </c>
      <c r="G16" s="10" t="str">
        <f t="shared" si="4"/>
        <v>54028.7013</v>
      </c>
      <c r="H16" s="42">
        <f t="shared" si="5"/>
        <v>1187.5</v>
      </c>
      <c r="I16" s="51" t="s">
        <v>124</v>
      </c>
      <c r="J16" s="52" t="s">
        <v>125</v>
      </c>
      <c r="K16" s="51" t="s">
        <v>126</v>
      </c>
      <c r="L16" s="51" t="s">
        <v>127</v>
      </c>
      <c r="M16" s="52" t="s">
        <v>114</v>
      </c>
      <c r="N16" s="52" t="s">
        <v>115</v>
      </c>
      <c r="O16" s="53" t="s">
        <v>116</v>
      </c>
      <c r="P16" s="54" t="s">
        <v>117</v>
      </c>
    </row>
    <row r="17" spans="1:16" ht="12.75" customHeight="1" thickBot="1" x14ac:dyDescent="0.25">
      <c r="A17" s="42" t="str">
        <f t="shared" si="0"/>
        <v>IBVS 5960 </v>
      </c>
      <c r="B17" s="4" t="str">
        <f t="shared" si="1"/>
        <v>II</v>
      </c>
      <c r="C17" s="42">
        <f t="shared" si="2"/>
        <v>55503.695399999997</v>
      </c>
      <c r="D17" s="10" t="str">
        <f t="shared" si="3"/>
        <v>vis</v>
      </c>
      <c r="E17" s="50">
        <f>VLOOKUP(C17,Active!C$21:E$971,3,FALSE)</f>
        <v>25746.524322480731</v>
      </c>
      <c r="F17" s="4" t="s">
        <v>70</v>
      </c>
      <c r="G17" s="10" t="str">
        <f t="shared" si="4"/>
        <v>55503.6954</v>
      </c>
      <c r="H17" s="42">
        <f t="shared" si="5"/>
        <v>3594.5</v>
      </c>
      <c r="I17" s="51" t="s">
        <v>144</v>
      </c>
      <c r="J17" s="52" t="s">
        <v>145</v>
      </c>
      <c r="K17" s="51" t="s">
        <v>146</v>
      </c>
      <c r="L17" s="51" t="s">
        <v>147</v>
      </c>
      <c r="M17" s="52" t="s">
        <v>114</v>
      </c>
      <c r="N17" s="52" t="s">
        <v>70</v>
      </c>
      <c r="O17" s="53" t="s">
        <v>148</v>
      </c>
      <c r="P17" s="54" t="s">
        <v>149</v>
      </c>
    </row>
    <row r="18" spans="1:16" ht="12.75" customHeight="1" thickBot="1" x14ac:dyDescent="0.25">
      <c r="A18" s="42" t="str">
        <f t="shared" si="0"/>
        <v>VSB 42 </v>
      </c>
      <c r="B18" s="4" t="str">
        <f t="shared" si="1"/>
        <v>I</v>
      </c>
      <c r="C18" s="42">
        <f t="shared" si="2"/>
        <v>52875.116000000002</v>
      </c>
      <c r="D18" s="10" t="str">
        <f t="shared" si="3"/>
        <v>vis</v>
      </c>
      <c r="E18" s="50">
        <f>VLOOKUP(C18,Active!C$21:E$971,3,FALSE)</f>
        <v>21456.97607814788</v>
      </c>
      <c r="F18" s="4" t="s">
        <v>70</v>
      </c>
      <c r="G18" s="10" t="str">
        <f t="shared" si="4"/>
        <v>52875.1160</v>
      </c>
      <c r="H18" s="42">
        <f t="shared" si="5"/>
        <v>-695</v>
      </c>
      <c r="I18" s="51" t="s">
        <v>96</v>
      </c>
      <c r="J18" s="52" t="s">
        <v>97</v>
      </c>
      <c r="K18" s="51">
        <v>-695</v>
      </c>
      <c r="L18" s="51" t="s">
        <v>98</v>
      </c>
      <c r="M18" s="52" t="s">
        <v>75</v>
      </c>
      <c r="N18" s="52" t="s">
        <v>76</v>
      </c>
      <c r="O18" s="53" t="s">
        <v>99</v>
      </c>
      <c r="P18" s="54" t="s">
        <v>100</v>
      </c>
    </row>
    <row r="19" spans="1:16" ht="12.75" customHeight="1" thickBot="1" x14ac:dyDescent="0.25">
      <c r="A19" s="42" t="str">
        <f t="shared" si="0"/>
        <v>VSB 43 </v>
      </c>
      <c r="B19" s="4" t="str">
        <f t="shared" si="1"/>
        <v>I</v>
      </c>
      <c r="C19" s="42">
        <f t="shared" si="2"/>
        <v>53285.080800000003</v>
      </c>
      <c r="D19" s="10" t="str">
        <f t="shared" si="3"/>
        <v>vis</v>
      </c>
      <c r="E19" s="50">
        <f>VLOOKUP(C19,Active!C$21:E$971,3,FALSE)</f>
        <v>22125.992881702787</v>
      </c>
      <c r="F19" s="4" t="s">
        <v>70</v>
      </c>
      <c r="G19" s="10" t="str">
        <f t="shared" si="4"/>
        <v>53285.0808</v>
      </c>
      <c r="H19" s="42">
        <f t="shared" si="5"/>
        <v>-26</v>
      </c>
      <c r="I19" s="51" t="s">
        <v>101</v>
      </c>
      <c r="J19" s="52" t="s">
        <v>102</v>
      </c>
      <c r="K19" s="51">
        <v>-26</v>
      </c>
      <c r="L19" s="51" t="s">
        <v>103</v>
      </c>
      <c r="M19" s="52" t="s">
        <v>75</v>
      </c>
      <c r="N19" s="52" t="s">
        <v>76</v>
      </c>
      <c r="O19" s="53" t="s">
        <v>99</v>
      </c>
      <c r="P19" s="54" t="s">
        <v>104</v>
      </c>
    </row>
    <row r="20" spans="1:16" ht="12.75" customHeight="1" thickBot="1" x14ac:dyDescent="0.25">
      <c r="A20" s="42" t="str">
        <f t="shared" si="0"/>
        <v>VSB 43 </v>
      </c>
      <c r="B20" s="4" t="str">
        <f t="shared" si="1"/>
        <v>I</v>
      </c>
      <c r="C20" s="42">
        <f t="shared" si="2"/>
        <v>53301.008900000001</v>
      </c>
      <c r="D20" s="10" t="str">
        <f t="shared" si="3"/>
        <v>vis</v>
      </c>
      <c r="E20" s="50">
        <f>VLOOKUP(C20,Active!C$21:E$971,3,FALSE)</f>
        <v>22151.985763405562</v>
      </c>
      <c r="F20" s="4" t="s">
        <v>70</v>
      </c>
      <c r="G20" s="10" t="str">
        <f t="shared" si="4"/>
        <v>53301.0089</v>
      </c>
      <c r="H20" s="42">
        <f t="shared" si="5"/>
        <v>0</v>
      </c>
      <c r="I20" s="51" t="s">
        <v>105</v>
      </c>
      <c r="J20" s="52" t="s">
        <v>106</v>
      </c>
      <c r="K20" s="51">
        <v>0</v>
      </c>
      <c r="L20" s="51" t="s">
        <v>107</v>
      </c>
      <c r="M20" s="52" t="s">
        <v>75</v>
      </c>
      <c r="N20" s="52" t="s">
        <v>76</v>
      </c>
      <c r="O20" s="53" t="s">
        <v>99</v>
      </c>
      <c r="P20" s="54" t="s">
        <v>104</v>
      </c>
    </row>
    <row r="21" spans="1:16" ht="12.75" customHeight="1" thickBot="1" x14ac:dyDescent="0.25">
      <c r="A21" s="42" t="str">
        <f t="shared" si="0"/>
        <v>VSB 43 </v>
      </c>
      <c r="B21" s="4" t="str">
        <f t="shared" si="1"/>
        <v>II</v>
      </c>
      <c r="C21" s="42">
        <f t="shared" si="2"/>
        <v>53312.970600000001</v>
      </c>
      <c r="D21" s="10" t="str">
        <f t="shared" si="3"/>
        <v>vis</v>
      </c>
      <c r="E21" s="50">
        <f>VLOOKUP(C21,Active!C$21:E$971,3,FALSE)</f>
        <v>22171.50592293897</v>
      </c>
      <c r="F21" s="4" t="s">
        <v>70</v>
      </c>
      <c r="G21" s="10" t="str">
        <f t="shared" si="4"/>
        <v>53312.9706</v>
      </c>
      <c r="H21" s="42">
        <f t="shared" si="5"/>
        <v>19.5</v>
      </c>
      <c r="I21" s="51" t="s">
        <v>108</v>
      </c>
      <c r="J21" s="52" t="s">
        <v>109</v>
      </c>
      <c r="K21" s="51">
        <v>19.5</v>
      </c>
      <c r="L21" s="51" t="s">
        <v>110</v>
      </c>
      <c r="M21" s="52" t="s">
        <v>75</v>
      </c>
      <c r="N21" s="52" t="s">
        <v>76</v>
      </c>
      <c r="O21" s="53" t="s">
        <v>99</v>
      </c>
      <c r="P21" s="54" t="s">
        <v>104</v>
      </c>
    </row>
    <row r="22" spans="1:16" ht="12.75" customHeight="1" thickBot="1" x14ac:dyDescent="0.25">
      <c r="A22" s="42" t="str">
        <f t="shared" si="0"/>
        <v>VSB 45 </v>
      </c>
      <c r="B22" s="4" t="str">
        <f t="shared" si="1"/>
        <v>I</v>
      </c>
      <c r="C22" s="42">
        <f t="shared" si="2"/>
        <v>54016.133300000001</v>
      </c>
      <c r="D22" s="10" t="str">
        <f t="shared" si="3"/>
        <v>vis</v>
      </c>
      <c r="E22" s="50">
        <f>VLOOKUP(C22,Active!C$21:E$971,3,FALSE)</f>
        <v>23318.988979857608</v>
      </c>
      <c r="F22" s="4" t="s">
        <v>70</v>
      </c>
      <c r="G22" s="10" t="str">
        <f t="shared" si="4"/>
        <v>54016.1333</v>
      </c>
      <c r="H22" s="42">
        <f t="shared" si="5"/>
        <v>1167</v>
      </c>
      <c r="I22" s="51" t="s">
        <v>118</v>
      </c>
      <c r="J22" s="52" t="s">
        <v>119</v>
      </c>
      <c r="K22" s="51" t="s">
        <v>120</v>
      </c>
      <c r="L22" s="51" t="s">
        <v>121</v>
      </c>
      <c r="M22" s="52" t="s">
        <v>75</v>
      </c>
      <c r="N22" s="52" t="s">
        <v>76</v>
      </c>
      <c r="O22" s="53" t="s">
        <v>122</v>
      </c>
      <c r="P22" s="54" t="s">
        <v>123</v>
      </c>
    </row>
    <row r="23" spans="1:16" ht="12.75" customHeight="1" thickBot="1" x14ac:dyDescent="0.25">
      <c r="A23" s="42" t="str">
        <f t="shared" si="0"/>
        <v>VSB 45 </v>
      </c>
      <c r="B23" s="4" t="str">
        <f t="shared" si="1"/>
        <v>II</v>
      </c>
      <c r="C23" s="42">
        <f t="shared" si="2"/>
        <v>54059.956200000001</v>
      </c>
      <c r="D23" s="10" t="str">
        <f t="shared" si="3"/>
        <v>vis</v>
      </c>
      <c r="E23" s="50">
        <f>VLOOKUP(C23,Active!C$21:E$971,3,FALSE)</f>
        <v>23390.503062238597</v>
      </c>
      <c r="F23" s="4" t="s">
        <v>70</v>
      </c>
      <c r="G23" s="10" t="str">
        <f t="shared" si="4"/>
        <v>54059.9562</v>
      </c>
      <c r="H23" s="42">
        <f t="shared" si="5"/>
        <v>1238.5</v>
      </c>
      <c r="I23" s="51" t="s">
        <v>128</v>
      </c>
      <c r="J23" s="52" t="s">
        <v>129</v>
      </c>
      <c r="K23" s="51" t="s">
        <v>130</v>
      </c>
      <c r="L23" s="51" t="s">
        <v>131</v>
      </c>
      <c r="M23" s="52" t="s">
        <v>75</v>
      </c>
      <c r="N23" s="52" t="s">
        <v>76</v>
      </c>
      <c r="O23" s="53" t="s">
        <v>122</v>
      </c>
      <c r="P23" s="54" t="s">
        <v>123</v>
      </c>
    </row>
    <row r="24" spans="1:16" ht="12.75" customHeight="1" thickBot="1" x14ac:dyDescent="0.25">
      <c r="A24" s="42" t="str">
        <f t="shared" si="0"/>
        <v>VSB 48 </v>
      </c>
      <c r="B24" s="4" t="str">
        <f t="shared" si="1"/>
        <v>I</v>
      </c>
      <c r="C24" s="42">
        <f t="shared" si="2"/>
        <v>54719.058700000001</v>
      </c>
      <c r="D24" s="10" t="str">
        <f t="shared" si="3"/>
        <v>vis</v>
      </c>
      <c r="E24" s="50">
        <f>VLOOKUP(C24,Active!C$21:E$971,3,FALSE)</f>
        <v>24466.084789657751</v>
      </c>
      <c r="F24" s="4" t="s">
        <v>70</v>
      </c>
      <c r="G24" s="10" t="str">
        <f t="shared" si="4"/>
        <v>54719.0587</v>
      </c>
      <c r="H24" s="42">
        <f t="shared" si="5"/>
        <v>2314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114</v>
      </c>
      <c r="N24" s="52" t="s">
        <v>136</v>
      </c>
      <c r="O24" s="53" t="s">
        <v>99</v>
      </c>
      <c r="P24" s="54" t="s">
        <v>137</v>
      </c>
    </row>
    <row r="25" spans="1:16" ht="12.75" customHeight="1" thickBot="1" x14ac:dyDescent="0.25">
      <c r="A25" s="42" t="str">
        <f t="shared" si="0"/>
        <v>VSB 51 </v>
      </c>
      <c r="B25" s="4" t="str">
        <f t="shared" si="1"/>
        <v>I</v>
      </c>
      <c r="C25" s="42">
        <f t="shared" si="2"/>
        <v>55453.1351</v>
      </c>
      <c r="D25" s="10" t="str">
        <f t="shared" si="3"/>
        <v>vis</v>
      </c>
      <c r="E25" s="50">
        <f>VLOOKUP(C25,Active!C$21:E$971,3,FALSE)</f>
        <v>25664.01555516028</v>
      </c>
      <c r="F25" s="4" t="s">
        <v>70</v>
      </c>
      <c r="G25" s="10" t="str">
        <f t="shared" si="4"/>
        <v>55453.1351</v>
      </c>
      <c r="H25" s="42">
        <f t="shared" si="5"/>
        <v>3512</v>
      </c>
      <c r="I25" s="51" t="s">
        <v>138</v>
      </c>
      <c r="J25" s="52" t="s">
        <v>139</v>
      </c>
      <c r="K25" s="51" t="s">
        <v>140</v>
      </c>
      <c r="L25" s="51" t="s">
        <v>141</v>
      </c>
      <c r="M25" s="52" t="s">
        <v>114</v>
      </c>
      <c r="N25" s="52" t="s">
        <v>136</v>
      </c>
      <c r="O25" s="53" t="s">
        <v>142</v>
      </c>
      <c r="P25" s="54" t="s">
        <v>143</v>
      </c>
    </row>
    <row r="26" spans="1:16" ht="12.75" customHeight="1" thickBot="1" x14ac:dyDescent="0.25">
      <c r="A26" s="42" t="str">
        <f t="shared" si="0"/>
        <v>VSB 55 </v>
      </c>
      <c r="B26" s="4" t="str">
        <f t="shared" si="1"/>
        <v>I</v>
      </c>
      <c r="C26" s="42">
        <f t="shared" si="2"/>
        <v>56181.1345</v>
      </c>
      <c r="D26" s="10" t="str">
        <f t="shared" si="3"/>
        <v>vis</v>
      </c>
      <c r="E26" s="50">
        <f>VLOOKUP(C26,Active!C$21:E$971,3,FALSE)</f>
        <v>26852.029334825973</v>
      </c>
      <c r="F26" s="4" t="s">
        <v>70</v>
      </c>
      <c r="G26" s="10" t="str">
        <f t="shared" si="4"/>
        <v>56181.1345</v>
      </c>
      <c r="H26" s="42">
        <f t="shared" si="5"/>
        <v>4700</v>
      </c>
      <c r="I26" s="51" t="s">
        <v>150</v>
      </c>
      <c r="J26" s="52" t="s">
        <v>151</v>
      </c>
      <c r="K26" s="51" t="s">
        <v>152</v>
      </c>
      <c r="L26" s="51" t="s">
        <v>153</v>
      </c>
      <c r="M26" s="52" t="s">
        <v>114</v>
      </c>
      <c r="N26" s="52" t="s">
        <v>70</v>
      </c>
      <c r="O26" s="53" t="s">
        <v>154</v>
      </c>
      <c r="P26" s="54" t="s">
        <v>155</v>
      </c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</sheetData>
  <phoneticPr fontId="8" type="noConversion"/>
  <hyperlinks>
    <hyperlink ref="P13" r:id="rId1" display="http://www.bav-astro.de/sfs/BAVM_link.php?BAVMnr=117"/>
    <hyperlink ref="P14" r:id="rId2" display="http://www.konkoly.hu/cgi-bin/IBVS?5378"/>
    <hyperlink ref="P18" r:id="rId3" display="http://vsolj.cetus-net.org/no42.pdf"/>
    <hyperlink ref="P19" r:id="rId4" display="http://vsolj.cetus-net.org/no43.pdf"/>
    <hyperlink ref="P20" r:id="rId5" display="http://vsolj.cetus-net.org/no43.pdf"/>
    <hyperlink ref="P21" r:id="rId6" display="http://vsolj.cetus-net.org/no43.pdf"/>
    <hyperlink ref="P15" r:id="rId7" display="http://www.konkoly.hu/cgi-bin/IBVS?5843"/>
    <hyperlink ref="P22" r:id="rId8" display="http://vsolj.cetus-net.org/no45.pdf"/>
    <hyperlink ref="P16" r:id="rId9" display="http://www.konkoly.hu/cgi-bin/IBVS?5843"/>
    <hyperlink ref="P23" r:id="rId10" display="http://vsolj.cetus-net.org/no45.pdf"/>
    <hyperlink ref="P24" r:id="rId11" display="http://vsolj.cetus-net.org/no48.pdf"/>
    <hyperlink ref="P25" r:id="rId12" display="http://vsolj.cetus-net.org/vsoljno51.pdf"/>
    <hyperlink ref="P17" r:id="rId13" display="http://www.konkoly.hu/cgi-bin/IBVS?5960"/>
    <hyperlink ref="P26" r:id="rId14" display="http://vsolj.cetus-net.org/vsoljno55.pdf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2023-01-01T05:21:12Z</dcterms:modified>
</cp:coreProperties>
</file>