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1734C41A-A263-4A0C-9F0D-D0D9EF9EFFD1}" xr6:coauthVersionLast="47" xr6:coauthVersionMax="47" xr10:uidLastSave="{00000000-0000-0000-0000-000000000000}"/>
  <bookViews>
    <workbookView xWindow="16035" yWindow="840" windowWidth="12975" windowHeight="14550" xr2:uid="{00000000-000D-0000-FFFF-FFFF00000000}"/>
  </bookViews>
  <sheets>
    <sheet name="Active 1" sheetId="1" r:id="rId1"/>
    <sheet name="Active 2" sheetId="6" r:id="rId2"/>
    <sheet name="BAV" sheetId="2" r:id="rId3"/>
    <sheet name="New_list (1)" sheetId="4" r:id="rId4"/>
    <sheet name="New_list (2)" sheetId="3" r:id="rId5"/>
    <sheet name="New_list (3)" sheetId="5" r:id="rId6"/>
  </sheets>
  <definedNames>
    <definedName name="solver_adj" localSheetId="0" hidden="1">'Active 1'!$E$11:$E$13</definedName>
    <definedName name="solver_adj" localSheetId="1" hidden="1">'Active 2'!$E$11:$E$13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4" i="6" l="1"/>
  <c r="F74" i="6" s="1"/>
  <c r="Q74" i="6"/>
  <c r="E74" i="1"/>
  <c r="F74" i="1" s="1"/>
  <c r="Q74" i="1"/>
  <c r="E76" i="6"/>
  <c r="F76" i="6"/>
  <c r="Q76" i="6"/>
  <c r="Q76" i="1"/>
  <c r="D14" i="6"/>
  <c r="C14" i="6"/>
  <c r="D11" i="6"/>
  <c r="W3" i="6" s="1"/>
  <c r="D12" i="6"/>
  <c r="W2" i="6" s="1"/>
  <c r="D13" i="6"/>
  <c r="J4" i="6"/>
  <c r="K4" i="6"/>
  <c r="J5" i="6"/>
  <c r="K5" i="6"/>
  <c r="J6" i="6"/>
  <c r="U6" i="6"/>
  <c r="C7" i="6"/>
  <c r="K6" i="6"/>
  <c r="L6" i="6"/>
  <c r="J7" i="6"/>
  <c r="K7" i="6"/>
  <c r="U7" i="6"/>
  <c r="U8" i="6"/>
  <c r="C9" i="6"/>
  <c r="D9" i="6"/>
  <c r="U9" i="6"/>
  <c r="U10" i="6"/>
  <c r="U11" i="6"/>
  <c r="U12" i="6"/>
  <c r="U13" i="6"/>
  <c r="W15" i="6"/>
  <c r="F16" i="6"/>
  <c r="F17" i="6" s="1"/>
  <c r="G16" i="6"/>
  <c r="H16" i="6"/>
  <c r="C17" i="6"/>
  <c r="W20" i="6"/>
  <c r="E21" i="6"/>
  <c r="H15" i="6" s="1"/>
  <c r="G15" i="6"/>
  <c r="Q21" i="6"/>
  <c r="E22" i="6"/>
  <c r="F22" i="6"/>
  <c r="Q22" i="6"/>
  <c r="E23" i="6"/>
  <c r="F23" i="6"/>
  <c r="G23" i="6" s="1"/>
  <c r="K23" i="6" s="1"/>
  <c r="Q23" i="6"/>
  <c r="E24" i="6"/>
  <c r="F24" i="6"/>
  <c r="Q24" i="6"/>
  <c r="E25" i="6"/>
  <c r="F25" i="6" s="1"/>
  <c r="Q25" i="6"/>
  <c r="E26" i="6"/>
  <c r="F26" i="6"/>
  <c r="G26" i="6" s="1"/>
  <c r="K26" i="6" s="1"/>
  <c r="Q26" i="6"/>
  <c r="E27" i="6"/>
  <c r="F27" i="6"/>
  <c r="G27" i="6" s="1"/>
  <c r="K27" i="6" s="1"/>
  <c r="Q27" i="6"/>
  <c r="E28" i="6"/>
  <c r="F28" i="6" s="1"/>
  <c r="Q28" i="6"/>
  <c r="E29" i="6"/>
  <c r="F29" i="6" s="1"/>
  <c r="Q29" i="6"/>
  <c r="E30" i="6"/>
  <c r="F30" i="6" s="1"/>
  <c r="Q30" i="6"/>
  <c r="E31" i="6"/>
  <c r="F31" i="6" s="1"/>
  <c r="Q31" i="6"/>
  <c r="E32" i="6"/>
  <c r="F32" i="6"/>
  <c r="P32" i="6" s="1"/>
  <c r="R32" i="6" s="1"/>
  <c r="T32" i="6" s="1"/>
  <c r="Q32" i="6"/>
  <c r="E33" i="6"/>
  <c r="F33" i="6" s="1"/>
  <c r="Q33" i="6"/>
  <c r="E34" i="6"/>
  <c r="F34" i="6"/>
  <c r="G34" i="6"/>
  <c r="K34" i="6" s="1"/>
  <c r="Q34" i="6"/>
  <c r="E35" i="6"/>
  <c r="F35" i="6"/>
  <c r="P35" i="6" s="1"/>
  <c r="Q35" i="6"/>
  <c r="E36" i="6"/>
  <c r="F36" i="6"/>
  <c r="G36" i="6" s="1"/>
  <c r="K36" i="6" s="1"/>
  <c r="Q36" i="6"/>
  <c r="E37" i="6"/>
  <c r="F37" i="6" s="1"/>
  <c r="Q37" i="6"/>
  <c r="E38" i="6"/>
  <c r="F38" i="6"/>
  <c r="G38" i="6" s="1"/>
  <c r="K38" i="6" s="1"/>
  <c r="Q38" i="6"/>
  <c r="E39" i="6"/>
  <c r="F39" i="6"/>
  <c r="G39" i="6"/>
  <c r="K39" i="6" s="1"/>
  <c r="Q39" i="6"/>
  <c r="E40" i="6"/>
  <c r="F40" i="6"/>
  <c r="Q40" i="6"/>
  <c r="E41" i="6"/>
  <c r="F41" i="6"/>
  <c r="G41" i="6" s="1"/>
  <c r="K41" i="6" s="1"/>
  <c r="Q41" i="6"/>
  <c r="E42" i="6"/>
  <c r="F42" i="6" s="1"/>
  <c r="Q42" i="6"/>
  <c r="E43" i="6"/>
  <c r="F43" i="6"/>
  <c r="G43" i="6" s="1"/>
  <c r="K43" i="6" s="1"/>
  <c r="Q43" i="6"/>
  <c r="E44" i="6"/>
  <c r="F44" i="6" s="1"/>
  <c r="Q44" i="6"/>
  <c r="E45" i="6"/>
  <c r="F45" i="6" s="1"/>
  <c r="Q45" i="6"/>
  <c r="E46" i="6"/>
  <c r="F46" i="6" s="1"/>
  <c r="Q46" i="6"/>
  <c r="E47" i="6"/>
  <c r="F47" i="6" s="1"/>
  <c r="G47" i="6" s="1"/>
  <c r="K47" i="6" s="1"/>
  <c r="Q47" i="6"/>
  <c r="E48" i="6"/>
  <c r="F48" i="6"/>
  <c r="Q48" i="6"/>
  <c r="E49" i="6"/>
  <c r="F49" i="6" s="1"/>
  <c r="Q49" i="6"/>
  <c r="E50" i="6"/>
  <c r="F50" i="6"/>
  <c r="P50" i="6" s="1"/>
  <c r="R50" i="6" s="1"/>
  <c r="T50" i="6" s="1"/>
  <c r="G50" i="6"/>
  <c r="L50" i="6" s="1"/>
  <c r="Q50" i="6"/>
  <c r="E51" i="6"/>
  <c r="F51" i="6"/>
  <c r="G51" i="6"/>
  <c r="I51" i="6"/>
  <c r="Q51" i="6"/>
  <c r="E52" i="6"/>
  <c r="F52" i="6" s="1"/>
  <c r="Q52" i="6"/>
  <c r="E53" i="6"/>
  <c r="F53" i="6" s="1"/>
  <c r="Q53" i="6"/>
  <c r="E54" i="6"/>
  <c r="F54" i="6" s="1"/>
  <c r="Q54" i="6"/>
  <c r="E55" i="6"/>
  <c r="F55" i="6"/>
  <c r="G55" i="6" s="1"/>
  <c r="L55" i="6" s="1"/>
  <c r="Q55" i="6"/>
  <c r="E56" i="6"/>
  <c r="F56" i="6"/>
  <c r="Q56" i="6"/>
  <c r="E57" i="6"/>
  <c r="F57" i="6"/>
  <c r="P57" i="6" s="1"/>
  <c r="R57" i="6" s="1"/>
  <c r="T57" i="6" s="1"/>
  <c r="Q57" i="6"/>
  <c r="E58" i="6"/>
  <c r="F58" i="6" s="1"/>
  <c r="Q58" i="6"/>
  <c r="E59" i="6"/>
  <c r="F59" i="6" s="1"/>
  <c r="Q59" i="6"/>
  <c r="E60" i="6"/>
  <c r="F60" i="6" s="1"/>
  <c r="Q60" i="6"/>
  <c r="E61" i="6"/>
  <c r="F61" i="6"/>
  <c r="G61" i="6" s="1"/>
  <c r="K61" i="6" s="1"/>
  <c r="Q61" i="6"/>
  <c r="E62" i="6"/>
  <c r="F62" i="6" s="1"/>
  <c r="Q62" i="6"/>
  <c r="E63" i="6"/>
  <c r="F63" i="6" s="1"/>
  <c r="Q63" i="6"/>
  <c r="E64" i="6"/>
  <c r="F64" i="6"/>
  <c r="Q64" i="6"/>
  <c r="E65" i="6"/>
  <c r="F65" i="6"/>
  <c r="G65" i="6" s="1"/>
  <c r="K65" i="6" s="1"/>
  <c r="Q65" i="6"/>
  <c r="E66" i="6"/>
  <c r="F66" i="6" s="1"/>
  <c r="Q66" i="6"/>
  <c r="E67" i="6"/>
  <c r="F67" i="6"/>
  <c r="G67" i="6" s="1"/>
  <c r="J67" i="6" s="1"/>
  <c r="Q67" i="6"/>
  <c r="E68" i="6"/>
  <c r="F68" i="6" s="1"/>
  <c r="Q68" i="6"/>
  <c r="E71" i="6"/>
  <c r="F71" i="6"/>
  <c r="G71" i="6" s="1"/>
  <c r="L71" i="6" s="1"/>
  <c r="Q71" i="6"/>
  <c r="E72" i="6"/>
  <c r="F72" i="6" s="1"/>
  <c r="Q72" i="6"/>
  <c r="E69" i="6"/>
  <c r="F69" i="6"/>
  <c r="G69" i="6" s="1"/>
  <c r="K69" i="6" s="1"/>
  <c r="Q69" i="6"/>
  <c r="E70" i="6"/>
  <c r="F70" i="6" s="1"/>
  <c r="G70" i="6" s="1"/>
  <c r="K70" i="6" s="1"/>
  <c r="Q70" i="6"/>
  <c r="E73" i="6"/>
  <c r="F73" i="6"/>
  <c r="G73" i="6" s="1"/>
  <c r="K73" i="6" s="1"/>
  <c r="Q73" i="6"/>
  <c r="E75" i="6"/>
  <c r="F75" i="6"/>
  <c r="P75" i="6" s="1"/>
  <c r="Q75" i="6"/>
  <c r="U13" i="1"/>
  <c r="D11" i="1"/>
  <c r="D12" i="1"/>
  <c r="W10" i="1" s="1"/>
  <c r="D13" i="1"/>
  <c r="Q75" i="1"/>
  <c r="Q73" i="1"/>
  <c r="Q70" i="1"/>
  <c r="Q69" i="1"/>
  <c r="C7" i="1"/>
  <c r="E76" i="1"/>
  <c r="F76" i="1" s="1"/>
  <c r="G76" i="1" s="1"/>
  <c r="K76" i="1" s="1"/>
  <c r="Q71" i="1"/>
  <c r="E72" i="1"/>
  <c r="F72" i="1"/>
  <c r="Q72" i="1"/>
  <c r="H16" i="1"/>
  <c r="G16" i="1"/>
  <c r="D9" i="1"/>
  <c r="D14" i="1"/>
  <c r="E25" i="1"/>
  <c r="F25" i="1" s="1"/>
  <c r="E33" i="1"/>
  <c r="F33" i="1"/>
  <c r="G33" i="1" s="1"/>
  <c r="K33" i="1" s="1"/>
  <c r="E41" i="1"/>
  <c r="F41" i="1" s="1"/>
  <c r="G41" i="1" s="1"/>
  <c r="K41" i="1" s="1"/>
  <c r="E49" i="1"/>
  <c r="F49" i="1"/>
  <c r="G49" i="1" s="1"/>
  <c r="K49" i="1" s="1"/>
  <c r="E57" i="1"/>
  <c r="F57" i="1"/>
  <c r="G57" i="1" s="1"/>
  <c r="J57" i="1" s="1"/>
  <c r="E65" i="1"/>
  <c r="F65" i="1" s="1"/>
  <c r="G65" i="1" s="1"/>
  <c r="K65" i="1" s="1"/>
  <c r="U12" i="1"/>
  <c r="U10" i="1"/>
  <c r="U11" i="1"/>
  <c r="U9" i="1"/>
  <c r="U7" i="1"/>
  <c r="U8" i="1"/>
  <c r="U6" i="1"/>
  <c r="C9" i="1"/>
  <c r="C14" i="1"/>
  <c r="F16" i="1"/>
  <c r="F17" i="1" s="1"/>
  <c r="B35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11" i="3"/>
  <c r="W3" i="1"/>
  <c r="W5" i="1"/>
  <c r="W7" i="1"/>
  <c r="W8" i="1"/>
  <c r="W9" i="1"/>
  <c r="W15" i="1"/>
  <c r="W16" i="1"/>
  <c r="P49" i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A11" i="4"/>
  <c r="Y11" i="4"/>
  <c r="Y12" i="4"/>
  <c r="Y13" i="4"/>
  <c r="A14" i="4"/>
  <c r="Y14" i="4"/>
  <c r="A15" i="4"/>
  <c r="O15" i="4"/>
  <c r="Y15" i="4"/>
  <c r="A16" i="4"/>
  <c r="Y16" i="4"/>
  <c r="A17" i="4"/>
  <c r="Y17" i="4"/>
  <c r="A18" i="4"/>
  <c r="Y18" i="4"/>
  <c r="Y19" i="4"/>
  <c r="A20" i="4"/>
  <c r="Y20" i="4"/>
  <c r="Y21" i="4"/>
  <c r="Y22" i="4"/>
  <c r="A23" i="4"/>
  <c r="O23" i="4"/>
  <c r="Y23" i="4"/>
  <c r="A24" i="4"/>
  <c r="Y24" i="4"/>
  <c r="A25" i="4"/>
  <c r="Y25" i="4"/>
  <c r="A26" i="4"/>
  <c r="Y26" i="4"/>
  <c r="A27" i="4"/>
  <c r="Y27" i="4"/>
  <c r="A28" i="4"/>
  <c r="Y28" i="4"/>
  <c r="A29" i="4"/>
  <c r="Y29" i="4"/>
  <c r="A30" i="4"/>
  <c r="Y30" i="4"/>
  <c r="A31" i="4"/>
  <c r="Y31" i="4"/>
  <c r="A32" i="4"/>
  <c r="Y32" i="4"/>
  <c r="A33" i="4"/>
  <c r="Y33" i="4"/>
  <c r="A34" i="4"/>
  <c r="Y34" i="4"/>
  <c r="A35" i="4"/>
  <c r="Y35" i="4"/>
  <c r="A36" i="4"/>
  <c r="Y36" i="4"/>
  <c r="A37" i="4"/>
  <c r="Y37" i="4"/>
  <c r="A38" i="4"/>
  <c r="Y38" i="4"/>
  <c r="O39" i="4"/>
  <c r="Y39" i="4"/>
  <c r="A40" i="4"/>
  <c r="Y40" i="4"/>
  <c r="Y41" i="4"/>
  <c r="Y42" i="4"/>
  <c r="A43" i="4"/>
  <c r="Y43" i="4"/>
  <c r="A44" i="4"/>
  <c r="Y44" i="4"/>
  <c r="A45" i="4"/>
  <c r="Y45" i="4"/>
  <c r="A46" i="4"/>
  <c r="Y46" i="4"/>
  <c r="O47" i="4"/>
  <c r="Y47" i="4"/>
  <c r="Y48" i="4"/>
  <c r="Y49" i="4"/>
  <c r="Y50" i="4"/>
  <c r="Y51" i="4"/>
  <c r="Y52" i="4"/>
  <c r="Y53" i="4"/>
  <c r="Y54" i="4"/>
  <c r="Y55" i="4"/>
  <c r="Y56" i="4"/>
  <c r="Y57" i="4"/>
  <c r="Y58" i="4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47" i="1"/>
  <c r="Q44" i="1"/>
  <c r="Q41" i="1"/>
  <c r="W21" i="1"/>
  <c r="W22" i="1"/>
  <c r="W23" i="1"/>
  <c r="W24" i="1"/>
  <c r="W25" i="1"/>
  <c r="Q25" i="1"/>
  <c r="Q26" i="1"/>
  <c r="Q27" i="1"/>
  <c r="Q28" i="1"/>
  <c r="Q30" i="1"/>
  <c r="Q24" i="1"/>
  <c r="Q51" i="1"/>
  <c r="G12" i="2"/>
  <c r="C12" i="2"/>
  <c r="G13" i="2"/>
  <c r="C13" i="2"/>
  <c r="G14" i="2"/>
  <c r="C14" i="2"/>
  <c r="G15" i="2"/>
  <c r="C15" i="2"/>
  <c r="G16" i="2"/>
  <c r="C16" i="2"/>
  <c r="G17" i="2"/>
  <c r="C17" i="2"/>
  <c r="G18" i="2"/>
  <c r="C18" i="2"/>
  <c r="G19" i="2"/>
  <c r="C19" i="2"/>
  <c r="G20" i="2"/>
  <c r="C20" i="2"/>
  <c r="E20" i="2"/>
  <c r="G21" i="2"/>
  <c r="C21" i="2"/>
  <c r="G30" i="2"/>
  <c r="C30" i="2"/>
  <c r="G22" i="2"/>
  <c r="C22" i="2"/>
  <c r="G23" i="2"/>
  <c r="C23" i="2"/>
  <c r="G31" i="2"/>
  <c r="C31" i="2"/>
  <c r="G24" i="2"/>
  <c r="C24" i="2"/>
  <c r="G25" i="2"/>
  <c r="C25" i="2"/>
  <c r="G26" i="2"/>
  <c r="C26" i="2"/>
  <c r="E26" i="2"/>
  <c r="G27" i="2"/>
  <c r="C27" i="2"/>
  <c r="G32" i="2"/>
  <c r="C32" i="2"/>
  <c r="E32" i="2"/>
  <c r="G33" i="2"/>
  <c r="C33" i="2"/>
  <c r="G28" i="2"/>
  <c r="C28" i="2"/>
  <c r="G29" i="2"/>
  <c r="C29" i="2"/>
  <c r="G11" i="2"/>
  <c r="C11" i="2"/>
  <c r="H29" i="2"/>
  <c r="D29" i="2"/>
  <c r="B29" i="2"/>
  <c r="A29" i="2"/>
  <c r="H28" i="2"/>
  <c r="D28" i="2"/>
  <c r="B28" i="2"/>
  <c r="A28" i="2"/>
  <c r="H33" i="2"/>
  <c r="D33" i="2"/>
  <c r="B33" i="2"/>
  <c r="A33" i="2"/>
  <c r="H32" i="2"/>
  <c r="D32" i="2"/>
  <c r="B32" i="2"/>
  <c r="A32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31" i="2"/>
  <c r="D31" i="2"/>
  <c r="B31" i="2"/>
  <c r="A31" i="2"/>
  <c r="H23" i="2"/>
  <c r="D23" i="2"/>
  <c r="B23" i="2"/>
  <c r="A23" i="2"/>
  <c r="H22" i="2"/>
  <c r="D22" i="2"/>
  <c r="B22" i="2"/>
  <c r="A22" i="2"/>
  <c r="H30" i="2"/>
  <c r="D30" i="2"/>
  <c r="B30" i="2"/>
  <c r="A30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J5" i="1"/>
  <c r="K5" i="1"/>
  <c r="L5" i="1"/>
  <c r="J6" i="1"/>
  <c r="K6" i="1"/>
  <c r="J7" i="1"/>
  <c r="K7" i="1"/>
  <c r="J4" i="1"/>
  <c r="K4" i="1"/>
  <c r="M4" i="1"/>
  <c r="C17" i="1"/>
  <c r="W19" i="1"/>
  <c r="Q21" i="1"/>
  <c r="Q22" i="1"/>
  <c r="Q23" i="1"/>
  <c r="Q29" i="1"/>
  <c r="Q31" i="1"/>
  <c r="Q32" i="1"/>
  <c r="Q33" i="1"/>
  <c r="Q34" i="1"/>
  <c r="Q35" i="1"/>
  <c r="Q36" i="1"/>
  <c r="Q37" i="1"/>
  <c r="Q38" i="1"/>
  <c r="Q39" i="1"/>
  <c r="Q40" i="1"/>
  <c r="Q42" i="1"/>
  <c r="Q43" i="1"/>
  <c r="Q45" i="1"/>
  <c r="Q46" i="1"/>
  <c r="Q48" i="1"/>
  <c r="Q49" i="1"/>
  <c r="Q50" i="1"/>
  <c r="Q52" i="1"/>
  <c r="Q53" i="1"/>
  <c r="G76" i="6"/>
  <c r="K76" i="6"/>
  <c r="L6" i="1"/>
  <c r="M6" i="1"/>
  <c r="L7" i="1"/>
  <c r="M7" i="1"/>
  <c r="P69" i="6"/>
  <c r="L4" i="1"/>
  <c r="P36" i="6"/>
  <c r="P22" i="6"/>
  <c r="G22" i="6"/>
  <c r="K22" i="6" s="1"/>
  <c r="M6" i="6"/>
  <c r="P40" i="6"/>
  <c r="G40" i="6"/>
  <c r="K40" i="6" s="1"/>
  <c r="P64" i="6"/>
  <c r="R64" i="6" s="1"/>
  <c r="T64" i="6" s="1"/>
  <c r="G64" i="6"/>
  <c r="G32" i="6"/>
  <c r="I32" i="6" s="1"/>
  <c r="E64" i="1"/>
  <c r="F64" i="1" s="1"/>
  <c r="E56" i="1"/>
  <c r="E48" i="1"/>
  <c r="E40" i="1"/>
  <c r="E14" i="2" s="1"/>
  <c r="E32" i="1"/>
  <c r="E24" i="1"/>
  <c r="F24" i="1" s="1"/>
  <c r="P61" i="6"/>
  <c r="E63" i="1"/>
  <c r="F63" i="1"/>
  <c r="P63" i="1" s="1"/>
  <c r="R63" i="1" s="1"/>
  <c r="T63" i="1" s="1"/>
  <c r="E55" i="1"/>
  <c r="E47" i="1"/>
  <c r="E39" i="1"/>
  <c r="H15" i="1" s="1"/>
  <c r="E31" i="1"/>
  <c r="E23" i="1"/>
  <c r="W14" i="1"/>
  <c r="W6" i="1"/>
  <c r="E62" i="1"/>
  <c r="F62" i="1" s="1"/>
  <c r="E54" i="1"/>
  <c r="E31" i="2" s="1"/>
  <c r="E46" i="1"/>
  <c r="E38" i="1"/>
  <c r="F38" i="1" s="1"/>
  <c r="E30" i="1"/>
  <c r="O20" i="4" s="1"/>
  <c r="E22" i="1"/>
  <c r="F22" i="1"/>
  <c r="P22" i="1" s="1"/>
  <c r="E75" i="1"/>
  <c r="F75" i="1" s="1"/>
  <c r="W7" i="6"/>
  <c r="W6" i="6"/>
  <c r="L4" i="6"/>
  <c r="E61" i="1"/>
  <c r="F61" i="1" s="1"/>
  <c r="E53" i="1"/>
  <c r="E45" i="1"/>
  <c r="E17" i="2"/>
  <c r="E37" i="1"/>
  <c r="E29" i="1"/>
  <c r="E12" i="2" s="1"/>
  <c r="E21" i="1"/>
  <c r="W12" i="6"/>
  <c r="W9" i="6"/>
  <c r="M5" i="6"/>
  <c r="W12" i="1"/>
  <c r="W4" i="1"/>
  <c r="E68" i="1"/>
  <c r="F68" i="1"/>
  <c r="G68" i="1" s="1"/>
  <c r="L68" i="1" s="1"/>
  <c r="P68" i="1"/>
  <c r="R68" i="1" s="1"/>
  <c r="T68" i="1" s="1"/>
  <c r="E60" i="1"/>
  <c r="F60" i="1" s="1"/>
  <c r="E52" i="1"/>
  <c r="E44" i="1"/>
  <c r="E36" i="1"/>
  <c r="E28" i="1"/>
  <c r="G72" i="1"/>
  <c r="L72" i="1"/>
  <c r="G57" i="6"/>
  <c r="J57" i="6" s="1"/>
  <c r="L5" i="6"/>
  <c r="E67" i="1"/>
  <c r="F67" i="1" s="1"/>
  <c r="E59" i="1"/>
  <c r="F59" i="1"/>
  <c r="G59" i="1" s="1"/>
  <c r="L59" i="1" s="1"/>
  <c r="E51" i="1"/>
  <c r="F51" i="1" s="1"/>
  <c r="E43" i="1"/>
  <c r="E35" i="1"/>
  <c r="E27" i="1"/>
  <c r="P72" i="1"/>
  <c r="P38" i="6"/>
  <c r="M7" i="6"/>
  <c r="E66" i="1"/>
  <c r="F66" i="1" s="1"/>
  <c r="E58" i="1"/>
  <c r="E27" i="2"/>
  <c r="E50" i="1"/>
  <c r="E42" i="1"/>
  <c r="E34" i="1"/>
  <c r="F34" i="1" s="1"/>
  <c r="E26" i="1"/>
  <c r="F26" i="1" s="1"/>
  <c r="G15" i="1"/>
  <c r="E71" i="1"/>
  <c r="F71" i="1" s="1"/>
  <c r="E69" i="1"/>
  <c r="F69" i="1"/>
  <c r="G69" i="1" s="1"/>
  <c r="K69" i="1" s="1"/>
  <c r="E70" i="1"/>
  <c r="F70" i="1" s="1"/>
  <c r="E73" i="1"/>
  <c r="F73" i="1" s="1"/>
  <c r="F53" i="1"/>
  <c r="G53" i="1" s="1"/>
  <c r="L53" i="1" s="1"/>
  <c r="O43" i="4"/>
  <c r="E15" i="2"/>
  <c r="F42" i="1"/>
  <c r="O32" i="4"/>
  <c r="O25" i="4"/>
  <c r="F35" i="1"/>
  <c r="F48" i="1"/>
  <c r="O38" i="4"/>
  <c r="E19" i="2"/>
  <c r="E28" i="2"/>
  <c r="O13" i="4"/>
  <c r="F23" i="1"/>
  <c r="F56" i="1"/>
  <c r="O46" i="4"/>
  <c r="E25" i="2"/>
  <c r="E11" i="2"/>
  <c r="F36" i="1"/>
  <c r="P36" i="1" s="1"/>
  <c r="O26" i="4"/>
  <c r="F44" i="1"/>
  <c r="O34" i="4"/>
  <c r="F50" i="1"/>
  <c r="O40" i="4"/>
  <c r="O16" i="4"/>
  <c r="O33" i="4"/>
  <c r="F43" i="1"/>
  <c r="O48" i="4"/>
  <c r="F58" i="1"/>
  <c r="G58" i="1" s="1"/>
  <c r="J58" i="1" s="1"/>
  <c r="F31" i="1"/>
  <c r="P31" i="1" s="1"/>
  <c r="R31" i="1" s="1"/>
  <c r="T31" i="1" s="1"/>
  <c r="O21" i="4"/>
  <c r="F46" i="1"/>
  <c r="O36" i="4"/>
  <c r="F30" i="1"/>
  <c r="G30" i="1" s="1"/>
  <c r="K30" i="1" s="1"/>
  <c r="F21" i="1"/>
  <c r="P21" i="1" s="1"/>
  <c r="O11" i="4"/>
  <c r="F29" i="1"/>
  <c r="P29" i="1" s="1"/>
  <c r="O19" i="4"/>
  <c r="O29" i="4"/>
  <c r="K64" i="6"/>
  <c r="F28" i="1"/>
  <c r="G28" i="1" s="1"/>
  <c r="K28" i="1" s="1"/>
  <c r="O18" i="4"/>
  <c r="F37" i="1"/>
  <c r="O27" i="4"/>
  <c r="F54" i="1"/>
  <c r="G54" i="1" s="1"/>
  <c r="L54" i="1" s="1"/>
  <c r="O44" i="4"/>
  <c r="F47" i="1"/>
  <c r="G47" i="1" s="1"/>
  <c r="K47" i="1" s="1"/>
  <c r="O37" i="4"/>
  <c r="R40" i="6"/>
  <c r="T40" i="6"/>
  <c r="F45" i="1"/>
  <c r="G45" i="1" s="1"/>
  <c r="K45" i="1" s="1"/>
  <c r="O35" i="4"/>
  <c r="F55" i="1"/>
  <c r="O45" i="4"/>
  <c r="O14" i="4"/>
  <c r="E16" i="2"/>
  <c r="E29" i="2"/>
  <c r="G63" i="1"/>
  <c r="K63" i="1"/>
  <c r="F32" i="1"/>
  <c r="P32" i="1" s="1"/>
  <c r="O22" i="4"/>
  <c r="E21" i="2"/>
  <c r="E23" i="2"/>
  <c r="O17" i="4"/>
  <c r="F27" i="1"/>
  <c r="G27" i="1" s="1"/>
  <c r="F52" i="1"/>
  <c r="G52" i="1" s="1"/>
  <c r="L52" i="1" s="1"/>
  <c r="O42" i="4"/>
  <c r="E22" i="2"/>
  <c r="E24" i="2"/>
  <c r="E18" i="2"/>
  <c r="P46" i="1"/>
  <c r="G46" i="1"/>
  <c r="K46" i="1" s="1"/>
  <c r="G50" i="1"/>
  <c r="L50" i="1"/>
  <c r="P50" i="1"/>
  <c r="R50" i="1" s="1"/>
  <c r="T50" i="1" s="1"/>
  <c r="P56" i="1"/>
  <c r="R56" i="1" s="1"/>
  <c r="T56" i="1" s="1"/>
  <c r="G56" i="1"/>
  <c r="L56" i="1"/>
  <c r="P43" i="1"/>
  <c r="G43" i="1"/>
  <c r="K43" i="1"/>
  <c r="P23" i="1"/>
  <c r="R23" i="1" s="1"/>
  <c r="T23" i="1" s="1"/>
  <c r="G23" i="1"/>
  <c r="K23" i="1" s="1"/>
  <c r="G48" i="1"/>
  <c r="P48" i="1"/>
  <c r="P37" i="1"/>
  <c r="G37" i="1"/>
  <c r="K37" i="1" s="1"/>
  <c r="P44" i="1"/>
  <c r="G44" i="1"/>
  <c r="K44" i="1"/>
  <c r="G42" i="1"/>
  <c r="K42" i="1" s="1"/>
  <c r="P42" i="1"/>
  <c r="R42" i="1" s="1"/>
  <c r="T42" i="1" s="1"/>
  <c r="P27" i="1"/>
  <c r="G55" i="1"/>
  <c r="L55" i="1"/>
  <c r="P55" i="1"/>
  <c r="R55" i="1" s="1"/>
  <c r="T55" i="1" s="1"/>
  <c r="G31" i="1"/>
  <c r="I31" i="1" s="1"/>
  <c r="P28" i="1"/>
  <c r="P30" i="1"/>
  <c r="P45" i="1"/>
  <c r="P35" i="1"/>
  <c r="G35" i="1"/>
  <c r="K35" i="1"/>
  <c r="R48" i="1"/>
  <c r="T48" i="1"/>
  <c r="L48" i="1"/>
  <c r="R46" i="1"/>
  <c r="T46" i="1" s="1"/>
  <c r="P76" i="6" l="1"/>
  <c r="R76" i="6" s="1"/>
  <c r="T76" i="6" s="1"/>
  <c r="P51" i="6"/>
  <c r="R51" i="6" s="1"/>
  <c r="T51" i="6" s="1"/>
  <c r="P34" i="6"/>
  <c r="R34" i="6" s="1"/>
  <c r="T34" i="6" s="1"/>
  <c r="P27" i="6"/>
  <c r="R27" i="6" s="1"/>
  <c r="T27" i="6" s="1"/>
  <c r="W19" i="6"/>
  <c r="W14" i="6"/>
  <c r="P48" i="6"/>
  <c r="P41" i="6"/>
  <c r="R41" i="6" s="1"/>
  <c r="T41" i="6" s="1"/>
  <c r="W24" i="6"/>
  <c r="W18" i="6"/>
  <c r="W13" i="6"/>
  <c r="W5" i="6"/>
  <c r="P56" i="6"/>
  <c r="W17" i="6"/>
  <c r="P65" i="6"/>
  <c r="W26" i="6"/>
  <c r="P24" i="6"/>
  <c r="W21" i="6"/>
  <c r="P68" i="6"/>
  <c r="G68" i="6"/>
  <c r="L68" i="6" s="1"/>
  <c r="G62" i="6"/>
  <c r="K62" i="6" s="1"/>
  <c r="P62" i="6"/>
  <c r="R62" i="6" s="1"/>
  <c r="T62" i="6" s="1"/>
  <c r="P52" i="6"/>
  <c r="G52" i="6"/>
  <c r="L52" i="6" s="1"/>
  <c r="G29" i="6"/>
  <c r="K29" i="6" s="1"/>
  <c r="P29" i="6"/>
  <c r="R29" i="6" s="1"/>
  <c r="T29" i="6" s="1"/>
  <c r="P72" i="6"/>
  <c r="R72" i="6" s="1"/>
  <c r="T72" i="6" s="1"/>
  <c r="G72" i="6"/>
  <c r="L72" i="6" s="1"/>
  <c r="G49" i="6"/>
  <c r="K49" i="6" s="1"/>
  <c r="P49" i="6"/>
  <c r="R49" i="6" s="1"/>
  <c r="T49" i="6" s="1"/>
  <c r="P42" i="6"/>
  <c r="R42" i="6" s="1"/>
  <c r="T42" i="6" s="1"/>
  <c r="G42" i="6"/>
  <c r="K42" i="6" s="1"/>
  <c r="G37" i="6"/>
  <c r="K37" i="6" s="1"/>
  <c r="P37" i="6"/>
  <c r="R37" i="6" s="1"/>
  <c r="T37" i="6" s="1"/>
  <c r="G58" i="6"/>
  <c r="J58" i="6" s="1"/>
  <c r="P58" i="6"/>
  <c r="G28" i="6"/>
  <c r="K28" i="6" s="1"/>
  <c r="P28" i="6"/>
  <c r="R28" i="6" s="1"/>
  <c r="T28" i="6" s="1"/>
  <c r="G54" i="6"/>
  <c r="L54" i="6" s="1"/>
  <c r="P54" i="6"/>
  <c r="G45" i="6"/>
  <c r="K45" i="6" s="1"/>
  <c r="P45" i="6"/>
  <c r="R45" i="6" s="1"/>
  <c r="T45" i="6" s="1"/>
  <c r="P31" i="6"/>
  <c r="R31" i="6" s="1"/>
  <c r="T31" i="6" s="1"/>
  <c r="G31" i="6"/>
  <c r="I31" i="6" s="1"/>
  <c r="P25" i="6"/>
  <c r="G25" i="6"/>
  <c r="K25" i="6" s="1"/>
  <c r="R69" i="6"/>
  <c r="T69" i="6" s="1"/>
  <c r="G66" i="6"/>
  <c r="K66" i="6" s="1"/>
  <c r="P66" i="6"/>
  <c r="P60" i="6"/>
  <c r="R60" i="6" s="1"/>
  <c r="T60" i="6" s="1"/>
  <c r="G60" i="6"/>
  <c r="K60" i="6" s="1"/>
  <c r="G46" i="6"/>
  <c r="K46" i="6" s="1"/>
  <c r="P46" i="6"/>
  <c r="R46" i="6" s="1"/>
  <c r="T46" i="6" s="1"/>
  <c r="G63" i="6"/>
  <c r="K63" i="6" s="1"/>
  <c r="P63" i="6"/>
  <c r="P53" i="6"/>
  <c r="R53" i="6" s="1"/>
  <c r="T53" i="6" s="1"/>
  <c r="G53" i="6"/>
  <c r="L53" i="6" s="1"/>
  <c r="G44" i="6"/>
  <c r="K44" i="6" s="1"/>
  <c r="P44" i="6"/>
  <c r="R44" i="6" s="1"/>
  <c r="T44" i="6" s="1"/>
  <c r="G30" i="6"/>
  <c r="K30" i="6" s="1"/>
  <c r="P30" i="6"/>
  <c r="R30" i="6" s="1"/>
  <c r="T30" i="6" s="1"/>
  <c r="R65" i="6"/>
  <c r="T65" i="6" s="1"/>
  <c r="P59" i="6"/>
  <c r="G59" i="6"/>
  <c r="L59" i="6" s="1"/>
  <c r="P33" i="6"/>
  <c r="R33" i="6" s="1"/>
  <c r="T33" i="6" s="1"/>
  <c r="G33" i="6"/>
  <c r="K33" i="6" s="1"/>
  <c r="G75" i="6"/>
  <c r="K75" i="6" s="1"/>
  <c r="P73" i="6"/>
  <c r="R73" i="6" s="1"/>
  <c r="T73" i="6" s="1"/>
  <c r="P55" i="6"/>
  <c r="R55" i="6" s="1"/>
  <c r="T55" i="6" s="1"/>
  <c r="P43" i="6"/>
  <c r="R43" i="6" s="1"/>
  <c r="T43" i="6" s="1"/>
  <c r="P26" i="6"/>
  <c r="R26" i="6" s="1"/>
  <c r="T26" i="6" s="1"/>
  <c r="F21" i="6"/>
  <c r="G24" i="6"/>
  <c r="K24" i="6" s="1"/>
  <c r="G48" i="6"/>
  <c r="G35" i="6"/>
  <c r="K35" i="6" s="1"/>
  <c r="R38" i="6"/>
  <c r="T38" i="6" s="1"/>
  <c r="R22" i="6"/>
  <c r="T22" i="6" s="1"/>
  <c r="P23" i="6"/>
  <c r="R23" i="6" s="1"/>
  <c r="T23" i="6" s="1"/>
  <c r="P71" i="6"/>
  <c r="R71" i="6" s="1"/>
  <c r="T71" i="6" s="1"/>
  <c r="G56" i="6"/>
  <c r="L56" i="6" s="1"/>
  <c r="R61" i="6"/>
  <c r="T61" i="6" s="1"/>
  <c r="R36" i="6"/>
  <c r="T36" i="6" s="1"/>
  <c r="G74" i="6"/>
  <c r="D16" i="6"/>
  <c r="D19" i="6" s="1"/>
  <c r="P74" i="6"/>
  <c r="D15" i="6"/>
  <c r="C19" i="6" s="1"/>
  <c r="G26" i="1"/>
  <c r="K26" i="1" s="1"/>
  <c r="P26" i="1"/>
  <c r="P70" i="1"/>
  <c r="R70" i="1" s="1"/>
  <c r="T70" i="1" s="1"/>
  <c r="G70" i="1"/>
  <c r="K70" i="1" s="1"/>
  <c r="P34" i="1"/>
  <c r="R34" i="1" s="1"/>
  <c r="T34" i="1" s="1"/>
  <c r="G34" i="1"/>
  <c r="K34" i="1" s="1"/>
  <c r="P60" i="1"/>
  <c r="G60" i="1"/>
  <c r="K60" i="1" s="1"/>
  <c r="G61" i="1"/>
  <c r="K61" i="1" s="1"/>
  <c r="P61" i="1"/>
  <c r="G51" i="1"/>
  <c r="P51" i="1"/>
  <c r="P38" i="1"/>
  <c r="G38" i="1"/>
  <c r="K38" i="1" s="1"/>
  <c r="G24" i="1"/>
  <c r="K24" i="1" s="1"/>
  <c r="P24" i="1"/>
  <c r="R24" i="1" s="1"/>
  <c r="T24" i="1" s="1"/>
  <c r="K27" i="1"/>
  <c r="R27" i="1"/>
  <c r="T27" i="1" s="1"/>
  <c r="G25" i="1"/>
  <c r="K25" i="1" s="1"/>
  <c r="P25" i="1"/>
  <c r="R25" i="1" s="1"/>
  <c r="T25" i="1" s="1"/>
  <c r="P73" i="1"/>
  <c r="R73" i="1" s="1"/>
  <c r="T73" i="1" s="1"/>
  <c r="G73" i="1"/>
  <c r="K73" i="1" s="1"/>
  <c r="P64" i="1"/>
  <c r="R64" i="1" s="1"/>
  <c r="T64" i="1" s="1"/>
  <c r="G64" i="1"/>
  <c r="K64" i="1" s="1"/>
  <c r="P75" i="1"/>
  <c r="R75" i="1" s="1"/>
  <c r="T75" i="1" s="1"/>
  <c r="G75" i="1"/>
  <c r="K75" i="1" s="1"/>
  <c r="G71" i="1"/>
  <c r="L71" i="1" s="1"/>
  <c r="P71" i="1"/>
  <c r="G66" i="1"/>
  <c r="K66" i="1" s="1"/>
  <c r="P66" i="1"/>
  <c r="R66" i="1" s="1"/>
  <c r="T66" i="1" s="1"/>
  <c r="G67" i="1"/>
  <c r="J67" i="1" s="1"/>
  <c r="P67" i="1"/>
  <c r="R67" i="1" s="1"/>
  <c r="T67" i="1" s="1"/>
  <c r="P62" i="1"/>
  <c r="G62" i="1"/>
  <c r="K62" i="1" s="1"/>
  <c r="R30" i="1"/>
  <c r="T30" i="1" s="1"/>
  <c r="G22" i="1"/>
  <c r="K22" i="1" s="1"/>
  <c r="G36" i="1"/>
  <c r="K36" i="1" s="1"/>
  <c r="P52" i="1"/>
  <c r="R52" i="1" s="1"/>
  <c r="T52" i="1" s="1"/>
  <c r="P53" i="1"/>
  <c r="R53" i="1" s="1"/>
  <c r="T53" i="1" s="1"/>
  <c r="G21" i="1"/>
  <c r="K21" i="1" s="1"/>
  <c r="P54" i="1"/>
  <c r="R54" i="1" s="1"/>
  <c r="T54" i="1" s="1"/>
  <c r="P69" i="1"/>
  <c r="R69" i="1" s="1"/>
  <c r="T69" i="1" s="1"/>
  <c r="P33" i="1"/>
  <c r="R33" i="1" s="1"/>
  <c r="T33" i="1" s="1"/>
  <c r="P58" i="1"/>
  <c r="R58" i="1" s="1"/>
  <c r="T58" i="1" s="1"/>
  <c r="E13" i="2"/>
  <c r="R72" i="1"/>
  <c r="T72" i="1" s="1"/>
  <c r="F39" i="1"/>
  <c r="R45" i="1"/>
  <c r="T45" i="1" s="1"/>
  <c r="P47" i="1"/>
  <c r="R47" i="1" s="1"/>
  <c r="T47" i="1" s="1"/>
  <c r="E30" i="2"/>
  <c r="P59" i="1"/>
  <c r="R59" i="1" s="1"/>
  <c r="T59" i="1" s="1"/>
  <c r="O30" i="4"/>
  <c r="R35" i="1"/>
  <c r="T35" i="1" s="1"/>
  <c r="E33" i="2"/>
  <c r="F40" i="1"/>
  <c r="R28" i="1"/>
  <c r="T28" i="1" s="1"/>
  <c r="G32" i="1"/>
  <c r="I32" i="1" s="1"/>
  <c r="R44" i="1"/>
  <c r="T44" i="1" s="1"/>
  <c r="R43" i="1"/>
  <c r="T43" i="1" s="1"/>
  <c r="G29" i="1"/>
  <c r="K29" i="1" s="1"/>
  <c r="O28" i="4"/>
  <c r="O24" i="4"/>
  <c r="O31" i="4"/>
  <c r="P57" i="1"/>
  <c r="R57" i="1" s="1"/>
  <c r="T57" i="1" s="1"/>
  <c r="R49" i="1"/>
  <c r="T49" i="1" s="1"/>
  <c r="R37" i="1"/>
  <c r="T37" i="1" s="1"/>
  <c r="D15" i="1"/>
  <c r="C19" i="1" s="1"/>
  <c r="G74" i="1"/>
  <c r="P74" i="1"/>
  <c r="D16" i="1"/>
  <c r="D19" i="1" s="1"/>
  <c r="W4" i="6"/>
  <c r="W18" i="1"/>
  <c r="W20" i="1"/>
  <c r="W13" i="1"/>
  <c r="W2" i="1"/>
  <c r="P76" i="1"/>
  <c r="R76" i="1" s="1"/>
  <c r="T76" i="1" s="1"/>
  <c r="P47" i="6"/>
  <c r="R47" i="6" s="1"/>
  <c r="T47" i="6" s="1"/>
  <c r="W25" i="6"/>
  <c r="W22" i="6"/>
  <c r="W16" i="6"/>
  <c r="M4" i="6"/>
  <c r="W17" i="1"/>
  <c r="W26" i="1"/>
  <c r="P41" i="1"/>
  <c r="R41" i="1" s="1"/>
  <c r="T41" i="1" s="1"/>
  <c r="W11" i="1"/>
  <c r="P70" i="6"/>
  <c r="R70" i="6" s="1"/>
  <c r="T70" i="6" s="1"/>
  <c r="P39" i="6"/>
  <c r="R39" i="6" s="1"/>
  <c r="T39" i="6" s="1"/>
  <c r="W8" i="6"/>
  <c r="P65" i="1"/>
  <c r="R65" i="1" s="1"/>
  <c r="T65" i="1" s="1"/>
  <c r="M5" i="1"/>
  <c r="P67" i="6"/>
  <c r="R67" i="6" s="1"/>
  <c r="T67" i="6" s="1"/>
  <c r="W23" i="6"/>
  <c r="W11" i="6"/>
  <c r="W10" i="6"/>
  <c r="L7" i="6"/>
  <c r="C11" i="1"/>
  <c r="C12" i="1"/>
  <c r="C12" i="6"/>
  <c r="C11" i="6"/>
  <c r="S3" i="6" l="1"/>
  <c r="O27" i="6"/>
  <c r="O63" i="6"/>
  <c r="O35" i="6"/>
  <c r="O39" i="6"/>
  <c r="S6" i="6"/>
  <c r="O65" i="6"/>
  <c r="O36" i="6"/>
  <c r="O64" i="6"/>
  <c r="O51" i="6"/>
  <c r="O55" i="6"/>
  <c r="O59" i="6"/>
  <c r="O34" i="6"/>
  <c r="O67" i="6"/>
  <c r="O26" i="6"/>
  <c r="O46" i="6"/>
  <c r="O60" i="6"/>
  <c r="O48" i="6"/>
  <c r="O50" i="6"/>
  <c r="C15" i="6"/>
  <c r="C18" i="6" s="1"/>
  <c r="O25" i="6"/>
  <c r="O30" i="6"/>
  <c r="O66" i="6"/>
  <c r="O38" i="6"/>
  <c r="O42" i="6"/>
  <c r="S5" i="6"/>
  <c r="O54" i="6"/>
  <c r="O58" i="6"/>
  <c r="O62" i="6"/>
  <c r="O45" i="6"/>
  <c r="S2" i="6"/>
  <c r="O24" i="6"/>
  <c r="O57" i="6"/>
  <c r="S4" i="6"/>
  <c r="O52" i="6"/>
  <c r="O47" i="6"/>
  <c r="O33" i="6"/>
  <c r="O37" i="6"/>
  <c r="O41" i="6"/>
  <c r="O28" i="6"/>
  <c r="O49" i="6"/>
  <c r="O53" i="6"/>
  <c r="O40" i="6"/>
  <c r="O44" i="6"/>
  <c r="S7" i="6"/>
  <c r="O31" i="6"/>
  <c r="O29" i="6"/>
  <c r="O61" i="6"/>
  <c r="O43" i="6"/>
  <c r="S8" i="6"/>
  <c r="O32" i="6"/>
  <c r="O56" i="6"/>
  <c r="C16" i="6"/>
  <c r="D18" i="6" s="1"/>
  <c r="L48" i="6"/>
  <c r="R52" i="6"/>
  <c r="T52" i="6" s="1"/>
  <c r="R63" i="6"/>
  <c r="T63" i="6" s="1"/>
  <c r="R54" i="6"/>
  <c r="T54" i="6" s="1"/>
  <c r="R35" i="6"/>
  <c r="T35" i="6" s="1"/>
  <c r="R24" i="6"/>
  <c r="T24" i="6" s="1"/>
  <c r="R25" i="6"/>
  <c r="T25" i="6" s="1"/>
  <c r="R48" i="6"/>
  <c r="T48" i="6" s="1"/>
  <c r="R58" i="6"/>
  <c r="T58" i="6" s="1"/>
  <c r="G21" i="6"/>
  <c r="K21" i="6" s="1"/>
  <c r="P21" i="6"/>
  <c r="R21" i="6" s="1"/>
  <c r="T21" i="6" s="1"/>
  <c r="R68" i="6"/>
  <c r="T68" i="6" s="1"/>
  <c r="R59" i="6"/>
  <c r="T59" i="6" s="1"/>
  <c r="R56" i="6"/>
  <c r="T56" i="6" s="1"/>
  <c r="R66" i="6"/>
  <c r="T66" i="6" s="1"/>
  <c r="R75" i="6"/>
  <c r="T75" i="6" s="1"/>
  <c r="R74" i="6"/>
  <c r="T74" i="6" s="1"/>
  <c r="I11" i="6"/>
  <c r="I12" i="6"/>
  <c r="I16" i="6" s="1"/>
  <c r="J18" i="6" s="1"/>
  <c r="K74" i="6"/>
  <c r="C16" i="1"/>
  <c r="D18" i="1" s="1"/>
  <c r="O47" i="1"/>
  <c r="O51" i="1"/>
  <c r="O31" i="1"/>
  <c r="O39" i="1"/>
  <c r="O50" i="1"/>
  <c r="O59" i="1"/>
  <c r="O52" i="1"/>
  <c r="O24" i="1"/>
  <c r="O49" i="1"/>
  <c r="O41" i="1"/>
  <c r="O44" i="1"/>
  <c r="S3" i="1"/>
  <c r="O25" i="1"/>
  <c r="O42" i="1"/>
  <c r="O67" i="1"/>
  <c r="C15" i="1"/>
  <c r="C18" i="1" s="1"/>
  <c r="O65" i="1"/>
  <c r="O40" i="1"/>
  <c r="O66" i="1"/>
  <c r="O33" i="1"/>
  <c r="S7" i="1"/>
  <c r="O30" i="1"/>
  <c r="S4" i="1"/>
  <c r="O56" i="1"/>
  <c r="O38" i="1"/>
  <c r="O37" i="1"/>
  <c r="O34" i="1"/>
  <c r="O43" i="1"/>
  <c r="O63" i="1"/>
  <c r="S5" i="1"/>
  <c r="O64" i="1"/>
  <c r="O60" i="1"/>
  <c r="O29" i="1"/>
  <c r="O58" i="1"/>
  <c r="O26" i="1"/>
  <c r="O45" i="1"/>
  <c r="O55" i="1"/>
  <c r="O36" i="1"/>
  <c r="O62" i="1"/>
  <c r="O48" i="1"/>
  <c r="O35" i="1"/>
  <c r="O61" i="1"/>
  <c r="O32" i="1"/>
  <c r="O53" i="1"/>
  <c r="O27" i="1"/>
  <c r="S8" i="1"/>
  <c r="O57" i="1"/>
  <c r="S6" i="1"/>
  <c r="O28" i="1"/>
  <c r="O46" i="1"/>
  <c r="O54" i="1"/>
  <c r="S2" i="1"/>
  <c r="R22" i="1"/>
  <c r="T22" i="1" s="1"/>
  <c r="R38" i="1"/>
  <c r="T38" i="1" s="1"/>
  <c r="R60" i="1"/>
  <c r="T60" i="1" s="1"/>
  <c r="R62" i="1"/>
  <c r="T62" i="1" s="1"/>
  <c r="R36" i="1"/>
  <c r="T36" i="1" s="1"/>
  <c r="R51" i="1"/>
  <c r="T51" i="1" s="1"/>
  <c r="I51" i="1"/>
  <c r="G40" i="1"/>
  <c r="K40" i="1" s="1"/>
  <c r="P40" i="1"/>
  <c r="R40" i="1" s="1"/>
  <c r="T40" i="1" s="1"/>
  <c r="P39" i="1"/>
  <c r="G39" i="1"/>
  <c r="K39" i="1" s="1"/>
  <c r="R21" i="1"/>
  <c r="T21" i="1" s="1"/>
  <c r="R32" i="1"/>
  <c r="T32" i="1" s="1"/>
  <c r="R74" i="1"/>
  <c r="T74" i="1" s="1"/>
  <c r="R61" i="1"/>
  <c r="T61" i="1" s="1"/>
  <c r="R26" i="1"/>
  <c r="T26" i="1" s="1"/>
  <c r="R71" i="1"/>
  <c r="T71" i="1" s="1"/>
  <c r="R29" i="1"/>
  <c r="T29" i="1" s="1"/>
  <c r="I12" i="1"/>
  <c r="I16" i="1" s="1"/>
  <c r="J18" i="1" s="1"/>
  <c r="K74" i="1"/>
  <c r="I11" i="1"/>
  <c r="F18" i="6" l="1"/>
  <c r="F19" i="6" s="1"/>
  <c r="E14" i="6"/>
  <c r="I15" i="6"/>
  <c r="I18" i="6" s="1"/>
  <c r="F18" i="1"/>
  <c r="F19" i="1" s="1"/>
  <c r="R39" i="1"/>
  <c r="T39" i="1" s="1"/>
  <c r="E14" i="1" s="1"/>
  <c r="I15" i="1"/>
  <c r="I18" i="1" s="1"/>
</calcChain>
</file>

<file path=xl/sharedStrings.xml><?xml version="1.0" encoding="utf-8"?>
<sst xmlns="http://schemas.openxmlformats.org/spreadsheetml/2006/main" count="1150" uniqueCount="284">
  <si>
    <t>VSB-059</t>
  </si>
  <si>
    <t>IBVS 6196</t>
  </si>
  <si>
    <t>OEJV 0181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</si>
  <si>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</si>
  <si>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</si>
  <si>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</si>
  <si>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</si>
  <si>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</si>
  <si>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</si>
  <si>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</si>
  <si>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</si>
  <si>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</si>
  <si>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</si>
  <si>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</si>
  <si>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</si>
  <si>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</si>
  <si>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</si>
  <si>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</si>
  <si>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</si>
  <si>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</si>
  <si>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</si>
  <si>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</si>
  <si>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</si>
  <si>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</si>
  <si>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</si>
  <si>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</si>
  <si>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</si>
  <si>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</si>
  <si>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</si>
  <si>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</si>
  <si>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</si>
  <si>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</si>
  <si>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</si>
  <si>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Ari</t>
  </si>
  <si>
    <t>EW</t>
  </si>
  <si>
    <t>Add cycle</t>
  </si>
  <si>
    <t>Old Cycle</t>
  </si>
  <si>
    <t>GCVS 4</t>
  </si>
  <si>
    <t>IBVS 5700</t>
  </si>
  <si>
    <t>IBVS 6006</t>
  </si>
  <si>
    <t>I</t>
  </si>
  <si>
    <t>IBVS 5922</t>
  </si>
  <si>
    <t>II</t>
  </si>
  <si>
    <t>IBVS 5965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</si>
  <si>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</si>
  <si>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</si>
  <si>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</si>
  <si>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</si>
  <si>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</si>
  <si>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</si>
  <si>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IBVS 6039</t>
  </si>
  <si>
    <t>IBVS 6042</t>
  </si>
  <si>
    <t>IBVS 6050</t>
  </si>
  <si>
    <t>BO Ari / GSC 1761-1246</t>
  </si>
  <si>
    <t>IBVS 6092</t>
  </si>
  <si>
    <t>IBVS 6118</t>
  </si>
  <si>
    <t>Element Determinator</t>
  </si>
  <si>
    <t>yyyy</t>
  </si>
  <si>
    <t>mm</t>
  </si>
  <si>
    <t>dd</t>
  </si>
  <si>
    <t>JD</t>
  </si>
  <si>
    <t>cycle</t>
  </si>
  <si>
    <t>epoch</t>
  </si>
  <si>
    <t>period</t>
  </si>
  <si>
    <t>Date -------------------------------</t>
  </si>
  <si>
    <t>IBVS 6152</t>
  </si>
  <si>
    <t>IBVS 6131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</si>
  <si>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</si>
  <si>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</si>
  <si>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</si>
  <si>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</si>
  <si>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</si>
  <si>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</si>
  <si>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</si>
  <si>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</si>
  <si>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</si>
  <si>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</si>
  <si>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</si>
  <si>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2454049.4078 </t>
  </si>
  <si>
    <t> 09.11.2006 21:47 </t>
  </si>
  <si>
    <t> -0.0041 </t>
  </si>
  <si>
    <t>C </t>
  </si>
  <si>
    <t> M.Martignoni </t>
  </si>
  <si>
    <t>IBVS 6006 </t>
  </si>
  <si>
    <t>2454084.4127 </t>
  </si>
  <si>
    <t> 14.12.2006 21:54 </t>
  </si>
  <si>
    <t> -0.0008 </t>
  </si>
  <si>
    <t>2455487.3294 </t>
  </si>
  <si>
    <t> 17.10.2010 19:54 </t>
  </si>
  <si>
    <t> 0.1444 </t>
  </si>
  <si>
    <t>m</t>
  </si>
  <si>
    <t> G.Saral,S.Suri,G.Varol </t>
  </si>
  <si>
    <t>IBVS 6039 </t>
  </si>
  <si>
    <t>2455487.4889 </t>
  </si>
  <si>
    <t> 17.10.2010 23:44 </t>
  </si>
  <si>
    <t> 0.1448 </t>
  </si>
  <si>
    <t> G.Saral, S.Suri, G.Varol </t>
  </si>
  <si>
    <t>2455509.4440 </t>
  </si>
  <si>
    <t> 08.11.2010 22:39 </t>
  </si>
  <si>
    <t> 0.1443 </t>
  </si>
  <si>
    <t> A.Okan, S.Ceret, Y.Sendak </t>
  </si>
  <si>
    <t>2455528.3768 </t>
  </si>
  <si>
    <t> 27.11.2010 21:02 </t>
  </si>
  <si>
    <t> Y.Dermircan </t>
  </si>
  <si>
    <t>2455551.2872 </t>
  </si>
  <si>
    <t> 20.12.2010 18:53 </t>
  </si>
  <si>
    <t> 0.1446 </t>
  </si>
  <si>
    <t> A.Okan, Y.Sendak, N.Demircioglu </t>
  </si>
  <si>
    <t>2455553.1962 </t>
  </si>
  <si>
    <t> 22.12.2010 16:42 </t>
  </si>
  <si>
    <t> G.Saral </t>
  </si>
  <si>
    <t>2456167.946 </t>
  </si>
  <si>
    <t> 28.08.2012 10:42 </t>
  </si>
  <si>
    <t> 0.138 </t>
  </si>
  <si>
    <t> R.Nelson </t>
  </si>
  <si>
    <t>IBVS 6050 </t>
  </si>
  <si>
    <t>2456279.6322 </t>
  </si>
  <si>
    <t> 18.12.2012 03:10 </t>
  </si>
  <si>
    <t> 0.1367 </t>
  </si>
  <si>
    <t> R.Diethelm </t>
  </si>
  <si>
    <t>IBVS 6042 </t>
  </si>
  <si>
    <t>2456514.9358 </t>
  </si>
  <si>
    <t> 10.08.2013 10:27 </t>
  </si>
  <si>
    <t> 0.1336 </t>
  </si>
  <si>
    <t>IBVS 6092 </t>
  </si>
  <si>
    <t>2456516.526 </t>
  </si>
  <si>
    <t> 12.08.2013 00:37 </t>
  </si>
  <si>
    <t> 0.133 </t>
  </si>
  <si>
    <t>o</t>
  </si>
  <si>
    <t> A.Paschke </t>
  </si>
  <si>
    <t>OEJV 0162 </t>
  </si>
  <si>
    <t>2456526.8681 </t>
  </si>
  <si>
    <t> 22.08.2013 08:50 </t>
  </si>
  <si>
    <t> 0.1335 </t>
  </si>
  <si>
    <t>2456535.9364 </t>
  </si>
  <si>
    <t> 31.08.2013 10:28 </t>
  </si>
  <si>
    <t> 0.1332 </t>
  </si>
  <si>
    <t>2456560.9145 </t>
  </si>
  <si>
    <t> 25.09.2013 09:56 </t>
  </si>
  <si>
    <t> 0.1328 </t>
  </si>
  <si>
    <t>2456579.6885 </t>
  </si>
  <si>
    <t> 14.10.2013 04:31 </t>
  </si>
  <si>
    <t>2456579.8475 </t>
  </si>
  <si>
    <t> 14.10.2013 08:20 </t>
  </si>
  <si>
    <t> 0.1331 </t>
  </si>
  <si>
    <t>2456630.281 </t>
  </si>
  <si>
    <t> 03.12.2013 18:44 </t>
  </si>
  <si>
    <t> 0.132 </t>
  </si>
  <si>
    <t>-I</t>
  </si>
  <si>
    <t> F.Agerer </t>
  </si>
  <si>
    <t>BAVM 234 </t>
  </si>
  <si>
    <t>2456630.4406 </t>
  </si>
  <si>
    <t> 03.12.2013 22:34 </t>
  </si>
  <si>
    <t>11727</t>
  </si>
  <si>
    <t> 0.1329 </t>
  </si>
  <si>
    <t>2456949.1098 </t>
  </si>
  <si>
    <t> 18.10.2014 14:38 </t>
  </si>
  <si>
    <t>12728.5</t>
  </si>
  <si>
    <t> 0.1278 </t>
  </si>
  <si>
    <t> H.Itoh </t>
  </si>
  <si>
    <t>VSB 59 </t>
  </si>
  <si>
    <t>2456949.2700 </t>
  </si>
  <si>
    <t> 18.10.2014 18:28 </t>
  </si>
  <si>
    <t>12729</t>
  </si>
  <si>
    <t> 0.1289 </t>
  </si>
  <si>
    <t>2456978.3850 </t>
  </si>
  <si>
    <t> 16.11.2014 21:14 </t>
  </si>
  <si>
    <t>12820.5</t>
  </si>
  <si>
    <t>BAVM 239 </t>
  </si>
  <si>
    <t>2456978.5427 </t>
  </si>
  <si>
    <t> 17.11.2014 01:01 </t>
  </si>
  <si>
    <t>12821</t>
  </si>
  <si>
    <t> 0.1275 </t>
  </si>
  <si>
    <t>s6</t>
  </si>
  <si>
    <t>s7</t>
  </si>
  <si>
    <t>OEJV 0116</t>
  </si>
  <si>
    <t>IBVS 6234</t>
  </si>
  <si>
    <t>Acerbi 2011RAA….11..843</t>
  </si>
  <si>
    <t>Nelson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</si>
  <si>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</si>
  <si>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</si>
  <si>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</si>
  <si>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</si>
  <si>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</si>
  <si>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</si>
  <si>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</si>
  <si>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</si>
  <si>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</si>
  <si>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</si>
  <si>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</si>
  <si>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</si>
  <si>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</si>
  <si>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</si>
  <si>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</si>
  <si>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</si>
  <si>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</si>
  <si>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</si>
  <si>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</si>
  <si>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</si>
  <si>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</si>
  <si>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</si>
  <si>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</si>
  <si>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</si>
  <si>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!s</t>
  </si>
  <si>
    <t>ccd</t>
  </si>
  <si>
    <t>!p</t>
  </si>
  <si>
    <t xml:space="preserve">ccd </t>
  </si>
  <si>
    <t>ccd V</t>
  </si>
  <si>
    <t>ccd B</t>
  </si>
  <si>
    <t>ccd BVRI</t>
  </si>
  <si>
    <t>ccd BV</t>
  </si>
  <si>
    <t>ccd BRI</t>
  </si>
  <si>
    <t>ccd VRI</t>
  </si>
  <si>
    <t xml:space="preserve">VRI </t>
  </si>
  <si>
    <t xml:space="preserve">ccd -I </t>
  </si>
  <si>
    <t>Martignoni (2011)</t>
  </si>
  <si>
    <t>Acerbi et al. (2011)</t>
  </si>
  <si>
    <t>Paschke (2009)</t>
  </si>
  <si>
    <t>Gökay et al. (2010)</t>
  </si>
  <si>
    <t>Gökay et al. (2012)</t>
  </si>
  <si>
    <t>Nelson (2013)</t>
  </si>
  <si>
    <t>Diethelm (2013)</t>
  </si>
  <si>
    <t>Nicholson and Varley (2006)</t>
  </si>
  <si>
    <t>Gurol et al. (2015)</t>
  </si>
  <si>
    <t>O-C data from Gurol et al 2015</t>
  </si>
  <si>
    <t>GCVS as of 2020-10-04</t>
  </si>
  <si>
    <t>56514.9358, 56526.8681, 56535.9364</t>
  </si>
  <si>
    <t>56560.9145, 56579.6885, 56579.8475</t>
  </si>
  <si>
    <t>56514.9358, 56526.8681, 56535.9364,56560.9145, 56579.6885, 56579.8475</t>
  </si>
  <si>
    <t>Nelson (2014)</t>
  </si>
  <si>
    <t>Nelson (2018)</t>
  </si>
  <si>
    <t>Nelson (2015)</t>
  </si>
  <si>
    <t>Nagai (2015)</t>
  </si>
  <si>
    <t>Nelson, R.H., 2015, Inf. Bull. Var. Stars No. 6131</t>
  </si>
  <si>
    <t>Nelson, R.H., 2014, Inf. Bull. Var. Stars No. 6092</t>
  </si>
  <si>
    <t>Nelson, R.H., 2013, Inf. Bull. Var. Stars No. 6050</t>
  </si>
  <si>
    <t>Nicholson, M., Varley, H., 2006, Inf. Bull. Var. Stars No. 5700</t>
  </si>
  <si>
    <t>Martignoni, M., 2011, Inf. Bull. Var. Stars No. 6006</t>
  </si>
  <si>
    <t>Demircan, Y. et al. 2011, Inf. Bull. Var. Stars No. 5965</t>
  </si>
  <si>
    <t>Gökay, G. et al. 2010, Inf. Bull. Var. Stars No. 5922</t>
  </si>
  <si>
    <t>Gurol, B., Gursoytrak, S.H., and Bradstreet, D.H., 2015, New Astr. 39, 9</t>
  </si>
  <si>
    <t>Diethelm, R., 2013, Inf. Bull. Var. Stars No. 6042</t>
  </si>
  <si>
    <t>Hübsher, J., 2014. Inf. Bull. Var. Stars No. 6118</t>
  </si>
  <si>
    <t>Paschke, A., 2014. Open European Journal on Variable Stars 0162</t>
  </si>
  <si>
    <t>Paschke (2014)</t>
  </si>
  <si>
    <t>Paschke, A., 2009. Open European Journal on Variable Stars 0116</t>
  </si>
  <si>
    <t>Hubscher (2015)</t>
  </si>
  <si>
    <t>Hubscher, J., 2015, Inf. Bull. Var. Stars No 6152</t>
  </si>
  <si>
    <t>Hubscher (2017)</t>
  </si>
  <si>
    <t>Hubscher, J., 2017, Inf. Bull. Var. Stars No 6196</t>
  </si>
  <si>
    <t>Paschke (2017)</t>
  </si>
  <si>
    <t>Paschke, A., 2017. Open European Journal on Variable Stars 0181</t>
  </si>
  <si>
    <t>Nelson, R.H., 2018, Inf. Bull. Var. Stars No. 6234</t>
  </si>
  <si>
    <t>Nagai, H., 2015, Variable Star Bulletin No. 59</t>
  </si>
  <si>
    <t>Gökay, G. et al. 2012, Inf. Bull. Var. Stars No. 6039</t>
  </si>
  <si>
    <t>Demircan et al. (2011)</t>
  </si>
  <si>
    <t>Acerbi, F., Barani, C., and Martignoni, M., 2011, Res. Astron. Astroph. 11, 843</t>
  </si>
  <si>
    <t>Hübsher (2014)</t>
  </si>
  <si>
    <t>Pojmanski et al. (2005)</t>
  </si>
  <si>
    <t>Pojmanski, G., 2005, The ASAS-3 Variable Star Catalog (http://www.astrouw.edu.pl/asas/)</t>
  </si>
  <si>
    <t>New</t>
  </si>
  <si>
    <t>I*</t>
  </si>
  <si>
    <t>OK</t>
  </si>
  <si>
    <t>not in G</t>
  </si>
  <si>
    <t>old</t>
  </si>
  <si>
    <t>HJD (min)</t>
  </si>
  <si>
    <t>err</t>
  </si>
  <si>
    <t>Nicholson &amp; Varley (2006)</t>
  </si>
  <si>
    <t>End of linear fit</t>
  </si>
  <si>
    <t>Linfit 1</t>
  </si>
  <si>
    <t>Linfit 2</t>
  </si>
  <si>
    <t>RHN 2020</t>
  </si>
  <si>
    <t>Nelson (2020)</t>
  </si>
  <si>
    <t>Type</t>
  </si>
  <si>
    <t>48-67</t>
  </si>
  <si>
    <t>rows &gt;&gt;&gt;</t>
  </si>
  <si>
    <t>64-69</t>
  </si>
  <si>
    <t>OEJV 0203</t>
  </si>
  <si>
    <t>VSB 069</t>
  </si>
  <si>
    <t>cG</t>
  </si>
  <si>
    <t>RHN 2021</t>
  </si>
  <si>
    <t>Linfit2</t>
  </si>
  <si>
    <t>OEJV 212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</si>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</sst>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5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21"/>
      <name val="Arial"/>
      <family val="2"/>
    </font>
    <font>
      <b/>
      <sz val="10"/>
      <color indexed="21"/>
      <name val="Arial"/>
      <family val="2"/>
    </font>
    <font>
      <sz val="10"/>
      <color indexed="12"/>
      <name val="Times New Roman"/>
      <family val="1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8" fillId="0" borderId="0"/>
    <xf numFmtId="0" fontId="18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5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12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4" fillId="0" borderId="0" xfId="0" applyFont="1" applyAlignment="1"/>
    <xf numFmtId="14" fontId="18" fillId="0" borderId="0" xfId="0" applyNumberFormat="1" applyFont="1" applyAlignment="1"/>
    <xf numFmtId="0" fontId="21" fillId="0" borderId="0" xfId="0" applyFont="1" applyAlignment="1"/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2" fillId="0" borderId="0" xfId="0" applyFont="1" applyAlignment="1"/>
    <xf numFmtId="0" fontId="0" fillId="0" borderId="8" xfId="0" applyBorder="1" applyAlignment="1"/>
    <xf numFmtId="0" fontId="23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4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24" fillId="24" borderId="22" xfId="38" applyFill="1" applyBorder="1" applyAlignment="1" applyProtection="1">
      <alignment horizontal="right" vertical="top" wrapText="1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41" fillId="0" borderId="0" xfId="42" applyFont="1"/>
    <xf numFmtId="0" fontId="41" fillId="0" borderId="0" xfId="42" applyFont="1" applyAlignment="1">
      <alignment horizontal="center"/>
    </xf>
    <xf numFmtId="0" fontId="41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165" fontId="0" fillId="0" borderId="0" xfId="0" applyNumberFormat="1" applyAlignment="1">
      <alignment horizontal="left"/>
    </xf>
    <xf numFmtId="0" fontId="17" fillId="0" borderId="0" xfId="42" applyFont="1" applyAlignment="1">
      <alignment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40" fillId="0" borderId="0" xfId="43" applyFont="1" applyAlignment="1">
      <alignment horizontal="left"/>
    </xf>
    <xf numFmtId="0" fontId="40" fillId="0" borderId="0" xfId="43" applyFont="1" applyAlignment="1">
      <alignment horizontal="center"/>
    </xf>
    <xf numFmtId="0" fontId="42" fillId="0" borderId="0" xfId="42" applyFont="1"/>
    <xf numFmtId="0" fontId="5" fillId="0" borderId="23" xfId="0" applyFont="1" applyBorder="1" applyAlignment="1">
      <alignment horizontal="left" wrapText="1"/>
    </xf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3" fillId="0" borderId="24" xfId="0" applyFont="1" applyBorder="1" applyAlignment="1">
      <alignment horizontal="center"/>
    </xf>
    <xf numFmtId="0" fontId="43" fillId="0" borderId="24" xfId="0" applyFont="1" applyBorder="1" applyAlignment="1">
      <alignment horizontal="centerContinuous"/>
    </xf>
    <xf numFmtId="0" fontId="44" fillId="0" borderId="0" xfId="0" applyFont="1" applyAlignment="1"/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6" fillId="0" borderId="0" xfId="42" applyFont="1" applyAlignment="1">
      <alignment wrapText="1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3" fillId="0" borderId="0" xfId="0" applyFont="1" applyAlignment="1"/>
    <xf numFmtId="0" fontId="17" fillId="0" borderId="0" xfId="0" applyFont="1" applyAlignment="1"/>
    <xf numFmtId="165" fontId="4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48" fillId="0" borderId="0" xfId="0" applyFont="1" applyAlignment="1"/>
    <xf numFmtId="0" fontId="4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49" fillId="0" borderId="0" xfId="0" applyFont="1" applyAlignment="1"/>
    <xf numFmtId="0" fontId="13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15" fillId="0" borderId="8" xfId="0" applyFont="1" applyBorder="1" applyAlignment="1">
      <alignment horizontal="left" wrapText="1"/>
    </xf>
    <xf numFmtId="0" fontId="15" fillId="0" borderId="8" xfId="0" applyFont="1" applyBorder="1" applyAlignment="1">
      <alignment horizontal="center"/>
    </xf>
    <xf numFmtId="0" fontId="40" fillId="0" borderId="0" xfId="0" applyFont="1">
      <alignment vertical="top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5" fillId="0" borderId="0" xfId="42" applyFont="1" applyAlignment="1">
      <alignment horizontal="left"/>
    </xf>
    <xf numFmtId="0" fontId="45" fillId="0" borderId="0" xfId="42" applyFont="1" applyAlignment="1">
      <alignment horizontal="center" wrapText="1"/>
    </xf>
    <xf numFmtId="0" fontId="45" fillId="0" borderId="0" xfId="42" applyFont="1" applyAlignment="1">
      <alignment horizontal="left" wrapText="1"/>
    </xf>
    <xf numFmtId="0" fontId="40" fillId="0" borderId="0" xfId="42" applyFont="1"/>
    <xf numFmtId="0" fontId="40" fillId="0" borderId="0" xfId="42" applyFont="1" applyAlignment="1">
      <alignment horizontal="center"/>
    </xf>
    <xf numFmtId="0" fontId="40" fillId="0" borderId="0" xfId="42" applyFont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11" fillId="0" borderId="16" xfId="0" applyFont="1" applyBorder="1">
      <alignment vertical="top"/>
    </xf>
    <xf numFmtId="0" fontId="13" fillId="0" borderId="17" xfId="0" applyFont="1" applyBorder="1">
      <alignment vertical="top"/>
    </xf>
    <xf numFmtId="0" fontId="11" fillId="0" borderId="18" xfId="0" applyFont="1" applyBorder="1">
      <alignment vertical="top"/>
    </xf>
    <xf numFmtId="0" fontId="10" fillId="0" borderId="19" xfId="0" applyFont="1" applyBorder="1">
      <alignment vertical="top"/>
    </xf>
    <xf numFmtId="0" fontId="9" fillId="0" borderId="19" xfId="0" applyFont="1" applyBorder="1" applyAlignment="1"/>
    <xf numFmtId="0" fontId="11" fillId="0" borderId="20" xfId="0" applyFont="1" applyBorder="1">
      <alignment vertical="top"/>
    </xf>
    <xf numFmtId="22" fontId="9" fillId="0" borderId="21" xfId="0" applyNumberFormat="1" applyFont="1" applyBorder="1">
      <alignment vertical="top"/>
    </xf>
    <xf numFmtId="0" fontId="0" fillId="0" borderId="28" xfId="0" applyBorder="1" applyAlignment="1"/>
    <xf numFmtId="0" fontId="17" fillId="0" borderId="0" xfId="0" applyFont="1">
      <alignment vertical="top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166" fontId="51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Ari - O-C Diagr.</a:t>
            </a:r>
          </a:p>
        </c:rich>
      </c:tx>
      <c:layout>
        <c:manualLayout>
          <c:xMode val="edge"/>
          <c:yMode val="edge"/>
          <c:x val="0.39039102094220202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80499283010289"/>
          <c:w val="0.81081199971260276"/>
          <c:h val="0.64942710978782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0-42C9-8933-99A40CE9F53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10">
                  <c:v>6.6499999957159162E-4</c:v>
                </c:pt>
                <c:pt idx="11">
                  <c:v>-7.6970000081928447E-3</c:v>
                </c:pt>
                <c:pt idx="30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30-42C9-8933-99A40CE9F53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36">
                  <c:v>-2.6719000001321547E-2</c:v>
                </c:pt>
                <c:pt idx="37">
                  <c:v>-2.6217500002530869E-2</c:v>
                </c:pt>
                <c:pt idx="46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30-42C9-8933-99A40CE9F53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0">
                  <c:v>3.7200000006123446E-3</c:v>
                </c:pt>
                <c:pt idx="1">
                  <c:v>0</c:v>
                </c:pt>
                <c:pt idx="2">
                  <c:v>-4.0520000038668513E-3</c:v>
                </c:pt>
                <c:pt idx="3">
                  <c:v>7.099999493220821E-5</c:v>
                </c:pt>
                <c:pt idx="4">
                  <c:v>-2.7595000065048225E-3</c:v>
                </c:pt>
                <c:pt idx="5">
                  <c:v>-2.9505000056815334E-3</c:v>
                </c:pt>
                <c:pt idx="6">
                  <c:v>-2.0325000004959293E-3</c:v>
                </c:pt>
                <c:pt idx="7">
                  <c:v>-6.3100000261329114E-4</c:v>
                </c:pt>
                <c:pt idx="8">
                  <c:v>-8.2200000179000199E-4</c:v>
                </c:pt>
                <c:pt idx="9">
                  <c:v>-2.0185000030323863E-3</c:v>
                </c:pt>
                <c:pt idx="12">
                  <c:v>-7.6320000007399358E-3</c:v>
                </c:pt>
                <c:pt idx="13">
                  <c:v>-1.1030500005290378E-2</c:v>
                </c:pt>
                <c:pt idx="14">
                  <c:v>-1.1514500001794659E-2</c:v>
                </c:pt>
                <c:pt idx="15">
                  <c:v>-9.8130000042147003E-3</c:v>
                </c:pt>
                <c:pt idx="16">
                  <c:v>-8.8290000057895668E-3</c:v>
                </c:pt>
                <c:pt idx="17">
                  <c:v>-1.4288999998825602E-2</c:v>
                </c:pt>
                <c:pt idx="18">
                  <c:v>-1.4694999998027924E-2</c:v>
                </c:pt>
                <c:pt idx="19">
                  <c:v>-1.4293500003986992E-2</c:v>
                </c:pt>
                <c:pt idx="20">
                  <c:v>-1.5568000009807292E-2</c:v>
                </c:pt>
                <c:pt idx="21">
                  <c:v>-1.4786500003538094E-2</c:v>
                </c:pt>
                <c:pt idx="22">
                  <c:v>-1.4708000002428889E-2</c:v>
                </c:pt>
                <c:pt idx="23">
                  <c:v>-1.3944999998784624E-2</c:v>
                </c:pt>
                <c:pt idx="24">
                  <c:v>-1.4492000002064742E-2</c:v>
                </c:pt>
                <c:pt idx="25">
                  <c:v>-1.4674000005470589E-2</c:v>
                </c:pt>
                <c:pt idx="26">
                  <c:v>-1.6952500001934823E-2</c:v>
                </c:pt>
                <c:pt idx="28">
                  <c:v>-2.2425000002840534E-2</c:v>
                </c:pt>
                <c:pt idx="39">
                  <c:v>-3.1312999795773067E-2</c:v>
                </c:pt>
                <c:pt idx="40">
                  <c:v>-3.0211500008590519E-2</c:v>
                </c:pt>
                <c:pt idx="41">
                  <c:v>-3.0236999999033287E-2</c:v>
                </c:pt>
                <c:pt idx="42">
                  <c:v>-3.1635500003176276E-2</c:v>
                </c:pt>
                <c:pt idx="43">
                  <c:v>-3.4828000003471971E-2</c:v>
                </c:pt>
                <c:pt idx="44">
                  <c:v>-3.5526500003470574E-2</c:v>
                </c:pt>
                <c:pt idx="45">
                  <c:v>-3.5625000004074536E-2</c:v>
                </c:pt>
                <c:pt idx="48">
                  <c:v>-4.4147500004328322E-2</c:v>
                </c:pt>
                <c:pt idx="49">
                  <c:v>-4.4147500004328322E-2</c:v>
                </c:pt>
                <c:pt idx="52">
                  <c:v>-4.9452000006567687E-2</c:v>
                </c:pt>
                <c:pt idx="53">
                  <c:v>-4.6443500206805766E-2</c:v>
                </c:pt>
                <c:pt idx="54">
                  <c:v>-5.2067000004171859E-2</c:v>
                </c:pt>
                <c:pt idx="55">
                  <c:v>-5.2790500005357899E-2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30-42C9-8933-99A40CE9F53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27">
                  <c:v>-2.1478000002389308E-2</c:v>
                </c:pt>
                <c:pt idx="29">
                  <c:v>-2.5506500001938548E-2</c:v>
                </c:pt>
                <c:pt idx="31">
                  <c:v>-2.5594000006094575E-2</c:v>
                </c:pt>
                <c:pt idx="32">
                  <c:v>-2.5908500007062685E-2</c:v>
                </c:pt>
                <c:pt idx="33">
                  <c:v>-2.627300000312971E-2</c:v>
                </c:pt>
                <c:pt idx="34">
                  <c:v>-2.5896000006468967E-2</c:v>
                </c:pt>
                <c:pt idx="35">
                  <c:v>-2.5994499999796972E-2</c:v>
                </c:pt>
                <c:pt idx="38">
                  <c:v>-3.0405000004975591E-2</c:v>
                </c:pt>
                <c:pt idx="47">
                  <c:v>-4.1775500001676846E-2</c:v>
                </c:pt>
                <c:pt idx="50">
                  <c:v>-4.8361900000600144E-2</c:v>
                </c:pt>
                <c:pt idx="51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30-42C9-8933-99A40CE9F53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30-42C9-8933-99A40CE9F53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30-42C9-8933-99A40CE9F53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3">
                  <c:v>3.7534837271205202E-3</c:v>
                </c:pt>
                <c:pt idx="4">
                  <c:v>3.5391976846077845E-3</c:v>
                </c:pt>
                <c:pt idx="5">
                  <c:v>3.5278196646513563E-3</c:v>
                </c:pt>
                <c:pt idx="6">
                  <c:v>3.5050636247384998E-3</c:v>
                </c:pt>
                <c:pt idx="7">
                  <c:v>3.503167288079095E-3</c:v>
                </c:pt>
                <c:pt idx="8">
                  <c:v>3.4917892681226668E-3</c:v>
                </c:pt>
                <c:pt idx="9">
                  <c:v>3.3609420386237401E-3</c:v>
                </c:pt>
                <c:pt idx="10">
                  <c:v>-1.5486735725751197E-3</c:v>
                </c:pt>
                <c:pt idx="11">
                  <c:v>-5.1365425321688793E-3</c:v>
                </c:pt>
                <c:pt idx="12">
                  <c:v>-8.3792782197509783E-3</c:v>
                </c:pt>
                <c:pt idx="13">
                  <c:v>-8.3811745564103812E-3</c:v>
                </c:pt>
                <c:pt idx="14">
                  <c:v>-8.6542470353646629E-3</c:v>
                </c:pt>
                <c:pt idx="15">
                  <c:v>-8.6561433720240694E-3</c:v>
                </c:pt>
                <c:pt idx="16">
                  <c:v>-9.141605556831682E-3</c:v>
                </c:pt>
                <c:pt idx="17">
                  <c:v>-1.2099890745503068E-2</c:v>
                </c:pt>
                <c:pt idx="18">
                  <c:v>-1.3230107394508292E-2</c:v>
                </c:pt>
                <c:pt idx="19">
                  <c:v>-1.3232003731167695E-2</c:v>
                </c:pt>
                <c:pt idx="20">
                  <c:v>-1.3491801853506145E-2</c:v>
                </c:pt>
                <c:pt idx="21">
                  <c:v>-1.3493698190165548E-2</c:v>
                </c:pt>
                <c:pt idx="22">
                  <c:v>-1.3719362252634714E-2</c:v>
                </c:pt>
                <c:pt idx="23">
                  <c:v>-1.383693512551781E-2</c:v>
                </c:pt>
                <c:pt idx="24">
                  <c:v>-1.3992434731588992E-2</c:v>
                </c:pt>
                <c:pt idx="25">
                  <c:v>-1.4015190771501849E-2</c:v>
                </c:pt>
                <c:pt idx="26">
                  <c:v>-1.4017087108161259E-2</c:v>
                </c:pt>
                <c:pt idx="27">
                  <c:v>-2.1342635623441752E-2</c:v>
                </c:pt>
                <c:pt idx="28">
                  <c:v>-2.2673863958343875E-2</c:v>
                </c:pt>
                <c:pt idx="29">
                  <c:v>-2.5478545877603478E-2</c:v>
                </c:pt>
                <c:pt idx="30">
                  <c:v>-2.5497509244197521E-2</c:v>
                </c:pt>
                <c:pt idx="31">
                  <c:v>-2.5620771127058833E-2</c:v>
                </c:pt>
                <c:pt idx="32">
                  <c:v>-2.5728862316644899E-2</c:v>
                </c:pt>
                <c:pt idx="33">
                  <c:v>-2.6026587172171444E-2</c:v>
                </c:pt>
                <c:pt idx="34">
                  <c:v>-2.6250354897981203E-2</c:v>
                </c:pt>
                <c:pt idx="35">
                  <c:v>-2.6252251234640606E-2</c:v>
                </c:pt>
                <c:pt idx="36">
                  <c:v>-2.6853389955671911E-2</c:v>
                </c:pt>
                <c:pt idx="37">
                  <c:v>-2.6855286292331314E-2</c:v>
                </c:pt>
                <c:pt idx="38">
                  <c:v>-3.0410917528715196E-2</c:v>
                </c:pt>
                <c:pt idx="39">
                  <c:v>-3.0653648621118999E-2</c:v>
                </c:pt>
                <c:pt idx="40">
                  <c:v>-3.0655544957778409E-2</c:v>
                </c:pt>
                <c:pt idx="41">
                  <c:v>-3.1002574566449472E-2</c:v>
                </c:pt>
                <c:pt idx="42">
                  <c:v>-3.1004470903108875E-2</c:v>
                </c:pt>
                <c:pt idx="43">
                  <c:v>-3.5185893237096325E-2</c:v>
                </c:pt>
                <c:pt idx="44">
                  <c:v>-3.5187789573755721E-2</c:v>
                </c:pt>
                <c:pt idx="45">
                  <c:v>-3.518968591041513E-2</c:v>
                </c:pt>
                <c:pt idx="46">
                  <c:v>-4.0298416870851492E-2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30-42C9-8933-99A40CE9F535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1'!$V$2:$V$25</c:f>
              <c:numCache>
                <c:formatCode>General</c:formatCode>
                <c:ptCount val="2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</c:numCache>
            </c:numRef>
          </c:xVal>
          <c:yVal>
            <c:numRef>
              <c:f>'Active 1'!$W$2:$W$25</c:f>
              <c:numCache>
                <c:formatCode>General</c:formatCode>
                <c:ptCount val="2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30-42C9-8933-99A40CE9F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82896"/>
        <c:axId val="1"/>
      </c:scatterChart>
      <c:valAx>
        <c:axId val="456982896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482999969831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931155157329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82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20752248311303"/>
          <c:y val="0.92529007149968323"/>
          <c:w val="0.73123233469690163"/>
          <c:h val="5.74715660542431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Ari - O-C Diagr.</a:t>
            </a:r>
          </a:p>
        </c:rich>
      </c:tx>
      <c:layout>
        <c:manualLayout>
          <c:xMode val="edge"/>
          <c:yMode val="edge"/>
          <c:x val="0.39130466262931524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4121037463976946"/>
          <c:w val="0.82009055537457498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F-4653-A4E6-A461553E956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10">
                  <c:v>6.6499999957159162E-4</c:v>
                </c:pt>
                <c:pt idx="11">
                  <c:v>-7.6970000081928447E-3</c:v>
                </c:pt>
                <c:pt idx="30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F-4653-A4E6-A461553E956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36">
                  <c:v>-2.6719000001321547E-2</c:v>
                </c:pt>
                <c:pt idx="37">
                  <c:v>-2.6217500002530869E-2</c:v>
                </c:pt>
                <c:pt idx="46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F-4653-A4E6-A461553E956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0">
                  <c:v>3.7200000006123446E-3</c:v>
                </c:pt>
                <c:pt idx="1">
                  <c:v>0</c:v>
                </c:pt>
                <c:pt idx="2">
                  <c:v>-4.0520000038668513E-3</c:v>
                </c:pt>
                <c:pt idx="3">
                  <c:v>7.099999493220821E-5</c:v>
                </c:pt>
                <c:pt idx="4">
                  <c:v>-2.7595000065048225E-3</c:v>
                </c:pt>
                <c:pt idx="5">
                  <c:v>-2.9505000056815334E-3</c:v>
                </c:pt>
                <c:pt idx="6">
                  <c:v>-2.0325000004959293E-3</c:v>
                </c:pt>
                <c:pt idx="7">
                  <c:v>-6.3100000261329114E-4</c:v>
                </c:pt>
                <c:pt idx="8">
                  <c:v>-8.2200000179000199E-4</c:v>
                </c:pt>
                <c:pt idx="9">
                  <c:v>-2.0185000030323863E-3</c:v>
                </c:pt>
                <c:pt idx="12">
                  <c:v>-7.6320000007399358E-3</c:v>
                </c:pt>
                <c:pt idx="13">
                  <c:v>-1.1030500005290378E-2</c:v>
                </c:pt>
                <c:pt idx="14">
                  <c:v>-1.1514500001794659E-2</c:v>
                </c:pt>
                <c:pt idx="15">
                  <c:v>-9.8130000042147003E-3</c:v>
                </c:pt>
                <c:pt idx="16">
                  <c:v>-8.8290000057895668E-3</c:v>
                </c:pt>
                <c:pt idx="17">
                  <c:v>-1.4288999998825602E-2</c:v>
                </c:pt>
                <c:pt idx="18">
                  <c:v>-1.4694999998027924E-2</c:v>
                </c:pt>
                <c:pt idx="19">
                  <c:v>-1.4293500003986992E-2</c:v>
                </c:pt>
                <c:pt idx="20">
                  <c:v>-1.5568000009807292E-2</c:v>
                </c:pt>
                <c:pt idx="21">
                  <c:v>-1.4786500003538094E-2</c:v>
                </c:pt>
                <c:pt idx="22">
                  <c:v>-1.4708000002428889E-2</c:v>
                </c:pt>
                <c:pt idx="23">
                  <c:v>-1.3944999998784624E-2</c:v>
                </c:pt>
                <c:pt idx="24">
                  <c:v>-1.4492000002064742E-2</c:v>
                </c:pt>
                <c:pt idx="25">
                  <c:v>-1.4674000005470589E-2</c:v>
                </c:pt>
                <c:pt idx="26">
                  <c:v>-1.6952500001934823E-2</c:v>
                </c:pt>
                <c:pt idx="28">
                  <c:v>-2.2425000002840534E-2</c:v>
                </c:pt>
                <c:pt idx="39">
                  <c:v>-3.1312999795773067E-2</c:v>
                </c:pt>
                <c:pt idx="40">
                  <c:v>-3.0211500008590519E-2</c:v>
                </c:pt>
                <c:pt idx="41">
                  <c:v>-3.0236999999033287E-2</c:v>
                </c:pt>
                <c:pt idx="42">
                  <c:v>-3.1635500003176276E-2</c:v>
                </c:pt>
                <c:pt idx="43">
                  <c:v>-3.4828000003471971E-2</c:v>
                </c:pt>
                <c:pt idx="44">
                  <c:v>-3.5526500003470574E-2</c:v>
                </c:pt>
                <c:pt idx="45">
                  <c:v>-3.5625000004074536E-2</c:v>
                </c:pt>
                <c:pt idx="48">
                  <c:v>-4.4147500004328322E-2</c:v>
                </c:pt>
                <c:pt idx="49">
                  <c:v>-4.4147500004328322E-2</c:v>
                </c:pt>
                <c:pt idx="52">
                  <c:v>-4.9452000006567687E-2</c:v>
                </c:pt>
                <c:pt idx="53">
                  <c:v>-4.6443500206805766E-2</c:v>
                </c:pt>
                <c:pt idx="54">
                  <c:v>-5.2067000004171859E-2</c:v>
                </c:pt>
                <c:pt idx="55">
                  <c:v>-5.2790500005357899E-2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F-4653-A4E6-A461553E956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27">
                  <c:v>-2.1478000002389308E-2</c:v>
                </c:pt>
                <c:pt idx="29">
                  <c:v>-2.5506500001938548E-2</c:v>
                </c:pt>
                <c:pt idx="31">
                  <c:v>-2.5594000006094575E-2</c:v>
                </c:pt>
                <c:pt idx="32">
                  <c:v>-2.5908500007062685E-2</c:v>
                </c:pt>
                <c:pt idx="33">
                  <c:v>-2.627300000312971E-2</c:v>
                </c:pt>
                <c:pt idx="34">
                  <c:v>-2.5896000006468967E-2</c:v>
                </c:pt>
                <c:pt idx="35">
                  <c:v>-2.5994499999796972E-2</c:v>
                </c:pt>
                <c:pt idx="38">
                  <c:v>-3.0405000004975591E-2</c:v>
                </c:pt>
                <c:pt idx="47">
                  <c:v>-4.1775500001676846E-2</c:v>
                </c:pt>
                <c:pt idx="50">
                  <c:v>-4.8361900000600144E-2</c:v>
                </c:pt>
                <c:pt idx="51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F-4653-A4E6-A461553E956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F-4653-A4E6-A461553E956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F-4653-A4E6-A461553E956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1'!$F$21:$F$1981</c:f>
              <c:numCache>
                <c:formatCode>General</c:formatCode>
                <c:ptCount val="1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1'!$O$21:$O$1981</c:f>
              <c:numCache>
                <c:formatCode>General</c:formatCode>
                <c:ptCount val="1961"/>
                <c:pt idx="3">
                  <c:v>3.7534837271205202E-3</c:v>
                </c:pt>
                <c:pt idx="4">
                  <c:v>3.5391976846077845E-3</c:v>
                </c:pt>
                <c:pt idx="5">
                  <c:v>3.5278196646513563E-3</c:v>
                </c:pt>
                <c:pt idx="6">
                  <c:v>3.5050636247384998E-3</c:v>
                </c:pt>
                <c:pt idx="7">
                  <c:v>3.503167288079095E-3</c:v>
                </c:pt>
                <c:pt idx="8">
                  <c:v>3.4917892681226668E-3</c:v>
                </c:pt>
                <c:pt idx="9">
                  <c:v>3.3609420386237401E-3</c:v>
                </c:pt>
                <c:pt idx="10">
                  <c:v>-1.5486735725751197E-3</c:v>
                </c:pt>
                <c:pt idx="11">
                  <c:v>-5.1365425321688793E-3</c:v>
                </c:pt>
                <c:pt idx="12">
                  <c:v>-8.3792782197509783E-3</c:v>
                </c:pt>
                <c:pt idx="13">
                  <c:v>-8.3811745564103812E-3</c:v>
                </c:pt>
                <c:pt idx="14">
                  <c:v>-8.6542470353646629E-3</c:v>
                </c:pt>
                <c:pt idx="15">
                  <c:v>-8.6561433720240694E-3</c:v>
                </c:pt>
                <c:pt idx="16">
                  <c:v>-9.141605556831682E-3</c:v>
                </c:pt>
                <c:pt idx="17">
                  <c:v>-1.2099890745503068E-2</c:v>
                </c:pt>
                <c:pt idx="18">
                  <c:v>-1.3230107394508292E-2</c:v>
                </c:pt>
                <c:pt idx="19">
                  <c:v>-1.3232003731167695E-2</c:v>
                </c:pt>
                <c:pt idx="20">
                  <c:v>-1.3491801853506145E-2</c:v>
                </c:pt>
                <c:pt idx="21">
                  <c:v>-1.3493698190165548E-2</c:v>
                </c:pt>
                <c:pt idx="22">
                  <c:v>-1.3719362252634714E-2</c:v>
                </c:pt>
                <c:pt idx="23">
                  <c:v>-1.383693512551781E-2</c:v>
                </c:pt>
                <c:pt idx="24">
                  <c:v>-1.3992434731588992E-2</c:v>
                </c:pt>
                <c:pt idx="25">
                  <c:v>-1.4015190771501849E-2</c:v>
                </c:pt>
                <c:pt idx="26">
                  <c:v>-1.4017087108161259E-2</c:v>
                </c:pt>
                <c:pt idx="27">
                  <c:v>-2.1342635623441752E-2</c:v>
                </c:pt>
                <c:pt idx="28">
                  <c:v>-2.2673863958343875E-2</c:v>
                </c:pt>
                <c:pt idx="29">
                  <c:v>-2.5478545877603478E-2</c:v>
                </c:pt>
                <c:pt idx="30">
                  <c:v>-2.5497509244197521E-2</c:v>
                </c:pt>
                <c:pt idx="31">
                  <c:v>-2.5620771127058833E-2</c:v>
                </c:pt>
                <c:pt idx="32">
                  <c:v>-2.5728862316644899E-2</c:v>
                </c:pt>
                <c:pt idx="33">
                  <c:v>-2.6026587172171444E-2</c:v>
                </c:pt>
                <c:pt idx="34">
                  <c:v>-2.6250354897981203E-2</c:v>
                </c:pt>
                <c:pt idx="35">
                  <c:v>-2.6252251234640606E-2</c:v>
                </c:pt>
                <c:pt idx="36">
                  <c:v>-2.6853389955671911E-2</c:v>
                </c:pt>
                <c:pt idx="37">
                  <c:v>-2.6855286292331314E-2</c:v>
                </c:pt>
                <c:pt idx="38">
                  <c:v>-3.0410917528715196E-2</c:v>
                </c:pt>
                <c:pt idx="39">
                  <c:v>-3.0653648621118999E-2</c:v>
                </c:pt>
                <c:pt idx="40">
                  <c:v>-3.0655544957778409E-2</c:v>
                </c:pt>
                <c:pt idx="41">
                  <c:v>-3.1002574566449472E-2</c:v>
                </c:pt>
                <c:pt idx="42">
                  <c:v>-3.1004470903108875E-2</c:v>
                </c:pt>
                <c:pt idx="43">
                  <c:v>-3.5185893237096325E-2</c:v>
                </c:pt>
                <c:pt idx="44">
                  <c:v>-3.5187789573755721E-2</c:v>
                </c:pt>
                <c:pt idx="45">
                  <c:v>-3.518968591041513E-2</c:v>
                </c:pt>
                <c:pt idx="46">
                  <c:v>-4.0298416870851492E-2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F-4653-A4E6-A461553E9566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1'!$V$2:$V$25</c:f>
              <c:numCache>
                <c:formatCode>General</c:formatCode>
                <c:ptCount val="2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</c:numCache>
            </c:numRef>
          </c:xVal>
          <c:yVal>
            <c:numRef>
              <c:f>'Active 1'!$W$2:$W$25</c:f>
              <c:numCache>
                <c:formatCode>General</c:formatCode>
                <c:ptCount val="2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F-4653-A4E6-A461553E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3448"/>
        <c:axId val="1"/>
      </c:scatterChart>
      <c:valAx>
        <c:axId val="46663344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869561282355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3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3989580013143"/>
          <c:y val="0.9250720461095101"/>
          <c:w val="0.73013540473857552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1410645982635E-2"/>
          <c:y val="5.6122448979591837E-2"/>
          <c:w val="0.88902642921693731"/>
          <c:h val="0.7882653061224489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10">
                  <c:v>6.6499999957159162E-4</c:v>
                </c:pt>
                <c:pt idx="11">
                  <c:v>-7.6970000081928447E-3</c:v>
                </c:pt>
                <c:pt idx="30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EC-498F-9B13-06B8F14064BD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36">
                  <c:v>-2.6719000001321547E-2</c:v>
                </c:pt>
                <c:pt idx="37">
                  <c:v>-2.6217500002530869E-2</c:v>
                </c:pt>
                <c:pt idx="46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EC-498F-9B13-06B8F14064BD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0">
                  <c:v>3.7200000006123446E-3</c:v>
                </c:pt>
                <c:pt idx="1">
                  <c:v>0</c:v>
                </c:pt>
                <c:pt idx="2">
                  <c:v>-4.0520000038668513E-3</c:v>
                </c:pt>
                <c:pt idx="3">
                  <c:v>7.099999493220821E-5</c:v>
                </c:pt>
                <c:pt idx="4">
                  <c:v>-2.7595000065048225E-3</c:v>
                </c:pt>
                <c:pt idx="5">
                  <c:v>-2.9505000056815334E-3</c:v>
                </c:pt>
                <c:pt idx="6">
                  <c:v>-2.0325000004959293E-3</c:v>
                </c:pt>
                <c:pt idx="7">
                  <c:v>-6.3100000261329114E-4</c:v>
                </c:pt>
                <c:pt idx="8">
                  <c:v>-8.2200000179000199E-4</c:v>
                </c:pt>
                <c:pt idx="9">
                  <c:v>-2.0185000030323863E-3</c:v>
                </c:pt>
                <c:pt idx="12">
                  <c:v>-7.6320000007399358E-3</c:v>
                </c:pt>
                <c:pt idx="13">
                  <c:v>-1.1030500005290378E-2</c:v>
                </c:pt>
                <c:pt idx="14">
                  <c:v>-1.1514500001794659E-2</c:v>
                </c:pt>
                <c:pt idx="15">
                  <c:v>-9.8130000042147003E-3</c:v>
                </c:pt>
                <c:pt idx="16">
                  <c:v>-8.8290000057895668E-3</c:v>
                </c:pt>
                <c:pt idx="17">
                  <c:v>-1.4288999998825602E-2</c:v>
                </c:pt>
                <c:pt idx="18">
                  <c:v>-1.4694999998027924E-2</c:v>
                </c:pt>
                <c:pt idx="19">
                  <c:v>-1.4293500003986992E-2</c:v>
                </c:pt>
                <c:pt idx="20">
                  <c:v>-1.5568000009807292E-2</c:v>
                </c:pt>
                <c:pt idx="21">
                  <c:v>-1.4786500003538094E-2</c:v>
                </c:pt>
                <c:pt idx="22">
                  <c:v>-1.4708000002428889E-2</c:v>
                </c:pt>
                <c:pt idx="23">
                  <c:v>-1.3944999998784624E-2</c:v>
                </c:pt>
                <c:pt idx="24">
                  <c:v>-1.4492000002064742E-2</c:v>
                </c:pt>
                <c:pt idx="25">
                  <c:v>-1.4674000005470589E-2</c:v>
                </c:pt>
                <c:pt idx="26">
                  <c:v>-1.6952500001934823E-2</c:v>
                </c:pt>
                <c:pt idx="28">
                  <c:v>-2.2425000002840534E-2</c:v>
                </c:pt>
                <c:pt idx="39">
                  <c:v>-3.1312999795773067E-2</c:v>
                </c:pt>
                <c:pt idx="40">
                  <c:v>-3.0211500008590519E-2</c:v>
                </c:pt>
                <c:pt idx="41">
                  <c:v>-3.0236999999033287E-2</c:v>
                </c:pt>
                <c:pt idx="42">
                  <c:v>-3.1635500003176276E-2</c:v>
                </c:pt>
                <c:pt idx="43">
                  <c:v>-3.4828000003471971E-2</c:v>
                </c:pt>
                <c:pt idx="44">
                  <c:v>-3.5526500003470574E-2</c:v>
                </c:pt>
                <c:pt idx="45">
                  <c:v>-3.5625000004074536E-2</c:v>
                </c:pt>
                <c:pt idx="48">
                  <c:v>-4.4147500004328322E-2</c:v>
                </c:pt>
                <c:pt idx="49">
                  <c:v>-4.4147500004328322E-2</c:v>
                </c:pt>
                <c:pt idx="52">
                  <c:v>-4.9452000006567687E-2</c:v>
                </c:pt>
                <c:pt idx="53">
                  <c:v>-4.6443500206805766E-2</c:v>
                </c:pt>
                <c:pt idx="54">
                  <c:v>-5.2067000004171859E-2</c:v>
                </c:pt>
                <c:pt idx="55">
                  <c:v>-5.2790500005357899E-2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EC-498F-9B13-06B8F14064BD}"/>
            </c:ext>
          </c:extLst>
        </c:ser>
        <c:ser>
          <c:idx val="2"/>
          <c:order val="3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27">
                  <c:v>-2.1478000002389308E-2</c:v>
                </c:pt>
                <c:pt idx="29">
                  <c:v>-2.5506500001938548E-2</c:v>
                </c:pt>
                <c:pt idx="31">
                  <c:v>-2.5594000006094575E-2</c:v>
                </c:pt>
                <c:pt idx="32">
                  <c:v>-2.5908500007062685E-2</c:v>
                </c:pt>
                <c:pt idx="33">
                  <c:v>-2.627300000312971E-2</c:v>
                </c:pt>
                <c:pt idx="34">
                  <c:v>-2.5896000006468967E-2</c:v>
                </c:pt>
                <c:pt idx="35">
                  <c:v>-2.5994499999796972E-2</c:v>
                </c:pt>
                <c:pt idx="38">
                  <c:v>-3.0405000004975591E-2</c:v>
                </c:pt>
                <c:pt idx="47">
                  <c:v>-4.1775500001676846E-2</c:v>
                </c:pt>
                <c:pt idx="50">
                  <c:v>-4.8361900000600144E-2</c:v>
                </c:pt>
                <c:pt idx="51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EC-498F-9B13-06B8F14064BD}"/>
            </c:ext>
          </c:extLst>
        </c:ser>
        <c:ser>
          <c:idx val="8"/>
          <c:order val="4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1'!$V$2:$V$25</c:f>
              <c:numCache>
                <c:formatCode>General</c:formatCode>
                <c:ptCount val="2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</c:numCache>
            </c:numRef>
          </c:xVal>
          <c:yVal>
            <c:numRef>
              <c:f>'Active 1'!$W$2:$W$25</c:f>
              <c:numCache>
                <c:formatCode>General</c:formatCode>
                <c:ptCount val="2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EC-498F-9B13-06B8F1406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8696"/>
        <c:axId val="1"/>
      </c:scatterChart>
      <c:valAx>
        <c:axId val="466638696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806463618681451"/>
              <c:y val="0.905612244897959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652281134401974E-3"/>
              <c:y val="0.35714285714285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86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39717014411421"/>
          <c:y val="0.92602040816326525"/>
          <c:w val="0.3760791738270694"/>
          <c:h val="5.35714285714286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Ari -- O-C Diagr.</a:t>
            </a:r>
          </a:p>
        </c:rich>
      </c:tx>
      <c:layout>
        <c:manualLayout>
          <c:xMode val="edge"/>
          <c:yMode val="edge"/>
          <c:x val="0.4069917852028796"/>
          <c:y val="3.3078880407124679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8463198422868E-2"/>
          <c:y val="0.12977131483409579"/>
          <c:w val="0.87890244482293234"/>
          <c:h val="0.7150144993800179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10">
                  <c:v>6.6499999957159162E-4</c:v>
                </c:pt>
                <c:pt idx="11">
                  <c:v>-7.6970000081928447E-3</c:v>
                </c:pt>
                <c:pt idx="30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22-4C88-AD70-014C00DD6C89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36">
                  <c:v>-2.6719000001321547E-2</c:v>
                </c:pt>
                <c:pt idx="37">
                  <c:v>-2.6217500002530869E-2</c:v>
                </c:pt>
                <c:pt idx="46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22-4C88-AD70-014C00DD6C89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0">
                  <c:v>3.7200000006123446E-3</c:v>
                </c:pt>
                <c:pt idx="1">
                  <c:v>0</c:v>
                </c:pt>
                <c:pt idx="2">
                  <c:v>-4.0520000038668513E-3</c:v>
                </c:pt>
                <c:pt idx="3">
                  <c:v>7.099999493220821E-5</c:v>
                </c:pt>
                <c:pt idx="4">
                  <c:v>-2.7595000065048225E-3</c:v>
                </c:pt>
                <c:pt idx="5">
                  <c:v>-2.9505000056815334E-3</c:v>
                </c:pt>
                <c:pt idx="6">
                  <c:v>-2.0325000004959293E-3</c:v>
                </c:pt>
                <c:pt idx="7">
                  <c:v>-6.3100000261329114E-4</c:v>
                </c:pt>
                <c:pt idx="8">
                  <c:v>-8.2200000179000199E-4</c:v>
                </c:pt>
                <c:pt idx="9">
                  <c:v>-2.0185000030323863E-3</c:v>
                </c:pt>
                <c:pt idx="12">
                  <c:v>-7.6320000007399358E-3</c:v>
                </c:pt>
                <c:pt idx="13">
                  <c:v>-1.1030500005290378E-2</c:v>
                </c:pt>
                <c:pt idx="14">
                  <c:v>-1.1514500001794659E-2</c:v>
                </c:pt>
                <c:pt idx="15">
                  <c:v>-9.8130000042147003E-3</c:v>
                </c:pt>
                <c:pt idx="16">
                  <c:v>-8.8290000057895668E-3</c:v>
                </c:pt>
                <c:pt idx="17">
                  <c:v>-1.4288999998825602E-2</c:v>
                </c:pt>
                <c:pt idx="18">
                  <c:v>-1.4694999998027924E-2</c:v>
                </c:pt>
                <c:pt idx="19">
                  <c:v>-1.4293500003986992E-2</c:v>
                </c:pt>
                <c:pt idx="20">
                  <c:v>-1.5568000009807292E-2</c:v>
                </c:pt>
                <c:pt idx="21">
                  <c:v>-1.4786500003538094E-2</c:v>
                </c:pt>
                <c:pt idx="22">
                  <c:v>-1.4708000002428889E-2</c:v>
                </c:pt>
                <c:pt idx="23">
                  <c:v>-1.3944999998784624E-2</c:v>
                </c:pt>
                <c:pt idx="24">
                  <c:v>-1.4492000002064742E-2</c:v>
                </c:pt>
                <c:pt idx="25">
                  <c:v>-1.4674000005470589E-2</c:v>
                </c:pt>
                <c:pt idx="26">
                  <c:v>-1.6952500001934823E-2</c:v>
                </c:pt>
                <c:pt idx="28">
                  <c:v>-2.2425000002840534E-2</c:v>
                </c:pt>
                <c:pt idx="39">
                  <c:v>-3.1312999795773067E-2</c:v>
                </c:pt>
                <c:pt idx="40">
                  <c:v>-3.0211500008590519E-2</c:v>
                </c:pt>
                <c:pt idx="41">
                  <c:v>-3.0236999999033287E-2</c:v>
                </c:pt>
                <c:pt idx="42">
                  <c:v>-3.1635500003176276E-2</c:v>
                </c:pt>
                <c:pt idx="43">
                  <c:v>-3.4828000003471971E-2</c:v>
                </c:pt>
                <c:pt idx="44">
                  <c:v>-3.5526500003470574E-2</c:v>
                </c:pt>
                <c:pt idx="45">
                  <c:v>-3.5625000004074536E-2</c:v>
                </c:pt>
                <c:pt idx="48">
                  <c:v>-4.4147500004328322E-2</c:v>
                </c:pt>
                <c:pt idx="49">
                  <c:v>-4.4147500004328322E-2</c:v>
                </c:pt>
                <c:pt idx="52">
                  <c:v>-4.9452000006567687E-2</c:v>
                </c:pt>
                <c:pt idx="53">
                  <c:v>-4.6443500206805766E-2</c:v>
                </c:pt>
                <c:pt idx="54">
                  <c:v>-5.2067000004171859E-2</c:v>
                </c:pt>
                <c:pt idx="55">
                  <c:v>-5.2790500005357899E-2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22-4C88-AD70-014C00DD6C89}"/>
            </c:ext>
          </c:extLst>
        </c:ser>
        <c:ser>
          <c:idx val="2"/>
          <c:order val="3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27">
                  <c:v>-2.1478000002389308E-2</c:v>
                </c:pt>
                <c:pt idx="29">
                  <c:v>-2.5506500001938548E-2</c:v>
                </c:pt>
                <c:pt idx="31">
                  <c:v>-2.5594000006094575E-2</c:v>
                </c:pt>
                <c:pt idx="32">
                  <c:v>-2.5908500007062685E-2</c:v>
                </c:pt>
                <c:pt idx="33">
                  <c:v>-2.627300000312971E-2</c:v>
                </c:pt>
                <c:pt idx="34">
                  <c:v>-2.5896000006468967E-2</c:v>
                </c:pt>
                <c:pt idx="35">
                  <c:v>-2.5994499999796972E-2</c:v>
                </c:pt>
                <c:pt idx="38">
                  <c:v>-3.0405000004975591E-2</c:v>
                </c:pt>
                <c:pt idx="47">
                  <c:v>-4.1775500001676846E-2</c:v>
                </c:pt>
                <c:pt idx="50">
                  <c:v>-4.8361900000600144E-2</c:v>
                </c:pt>
                <c:pt idx="51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22-4C88-AD70-014C00DD6C89}"/>
            </c:ext>
          </c:extLst>
        </c:ser>
        <c:ser>
          <c:idx val="7"/>
          <c:order val="4"/>
          <c:tx>
            <c:strRef>
              <c:f>'Active 1'!$S$1</c:f>
              <c:strCache>
                <c:ptCount val="1"/>
                <c:pt idx="0">
                  <c:v>Linfit 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'Active 1'!$R$2:$R$12</c:f>
              <c:numCache>
                <c:formatCode>General</c:formatCode>
                <c:ptCount val="11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</c:numCache>
            </c:numRef>
          </c:xVal>
          <c:yVal>
            <c:numRef>
              <c:f>'Active 1'!$S$2:$S$12</c:f>
              <c:numCache>
                <c:formatCode>General</c:formatCode>
                <c:ptCount val="11"/>
                <c:pt idx="0">
                  <c:v>-2.030533947074736E-2</c:v>
                </c:pt>
                <c:pt idx="1">
                  <c:v>-2.4098012789556828E-2</c:v>
                </c:pt>
                <c:pt idx="2">
                  <c:v>-2.7890686108366303E-2</c:v>
                </c:pt>
                <c:pt idx="3">
                  <c:v>-3.1683359427175775E-2</c:v>
                </c:pt>
                <c:pt idx="4">
                  <c:v>-3.5476032745985236E-2</c:v>
                </c:pt>
                <c:pt idx="5">
                  <c:v>-3.9268706064794712E-2</c:v>
                </c:pt>
                <c:pt idx="6">
                  <c:v>-4.3061379383604187E-2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22-4C88-AD70-014C00DD6C89}"/>
            </c:ext>
          </c:extLst>
        </c:ser>
        <c:ser>
          <c:idx val="8"/>
          <c:order val="5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1'!$V$2:$V$25</c:f>
              <c:numCache>
                <c:formatCode>General</c:formatCode>
                <c:ptCount val="2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</c:numCache>
            </c:numRef>
          </c:xVal>
          <c:yVal>
            <c:numRef>
              <c:f>'Active 1'!$W$2:$W$25</c:f>
              <c:numCache>
                <c:formatCode>General</c:formatCode>
                <c:ptCount val="2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22-4C88-AD70-014C00DD6C89}"/>
            </c:ext>
          </c:extLst>
        </c:ser>
        <c:ser>
          <c:idx val="0"/>
          <c:order val="6"/>
          <c:tx>
            <c:strRef>
              <c:f>'Active 1'!$U$1</c:f>
              <c:strCache>
                <c:ptCount val="1"/>
                <c:pt idx="0">
                  <c:v>Linfit 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'Active 1'!$T$2:$T$13</c:f>
              <c:numCache>
                <c:formatCode>General</c:formatCode>
                <c:ptCount val="12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</c:numCache>
            </c:numRef>
          </c:xVal>
          <c:yVal>
            <c:numRef>
              <c:f>'Active 1'!$U$2:$U$13</c:f>
              <c:numCache>
                <c:formatCode>General</c:formatCode>
                <c:ptCount val="12"/>
                <c:pt idx="4">
                  <c:v>-3.6509612055548493E-2</c:v>
                </c:pt>
                <c:pt idx="5">
                  <c:v>-3.8682608796444744E-2</c:v>
                </c:pt>
                <c:pt idx="6">
                  <c:v>-4.0855605537341001E-2</c:v>
                </c:pt>
                <c:pt idx="7">
                  <c:v>-4.3028602278237252E-2</c:v>
                </c:pt>
                <c:pt idx="8">
                  <c:v>-4.5201599019133502E-2</c:v>
                </c:pt>
                <c:pt idx="9">
                  <c:v>-4.737459576002976E-2</c:v>
                </c:pt>
                <c:pt idx="10">
                  <c:v>-4.954759250092601E-2</c:v>
                </c:pt>
                <c:pt idx="11">
                  <c:v>-5.1720589241822261E-2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22-4C88-AD70-014C00DD6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6400"/>
        <c:axId val="1"/>
      </c:scatterChart>
      <c:valAx>
        <c:axId val="46663640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891490623597134"/>
              <c:y val="0.90839908370232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421972534332081E-3"/>
              <c:y val="0.394403104192128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640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106130460284226"/>
          <c:y val="0.92621105567910877"/>
          <c:w val="0.67915184759208469"/>
          <c:h val="5.3435114503816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69382859612961E-2"/>
          <c:y val="5.5555692559611153E-2"/>
          <c:w val="0.87905290427063709"/>
          <c:h val="0.7904059895981040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10">
                  <c:v>6.6499999957159162E-4</c:v>
                </c:pt>
                <c:pt idx="11">
                  <c:v>-7.6970000081928447E-3</c:v>
                </c:pt>
                <c:pt idx="30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3-4D23-A2AD-82509648386F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36">
                  <c:v>-2.6719000001321547E-2</c:v>
                </c:pt>
                <c:pt idx="37">
                  <c:v>-2.6217500002530869E-2</c:v>
                </c:pt>
                <c:pt idx="46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93-4D23-A2AD-82509648386F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0">
                  <c:v>3.7200000006123446E-3</c:v>
                </c:pt>
                <c:pt idx="1">
                  <c:v>0</c:v>
                </c:pt>
                <c:pt idx="2">
                  <c:v>-4.0520000038668513E-3</c:v>
                </c:pt>
                <c:pt idx="3">
                  <c:v>7.099999493220821E-5</c:v>
                </c:pt>
                <c:pt idx="4">
                  <c:v>-2.7595000065048225E-3</c:v>
                </c:pt>
                <c:pt idx="5">
                  <c:v>-2.9505000056815334E-3</c:v>
                </c:pt>
                <c:pt idx="6">
                  <c:v>-2.0325000004959293E-3</c:v>
                </c:pt>
                <c:pt idx="7">
                  <c:v>-6.3100000261329114E-4</c:v>
                </c:pt>
                <c:pt idx="8">
                  <c:v>-8.2200000179000199E-4</c:v>
                </c:pt>
                <c:pt idx="9">
                  <c:v>-2.0185000030323863E-3</c:v>
                </c:pt>
                <c:pt idx="12">
                  <c:v>-7.6320000007399358E-3</c:v>
                </c:pt>
                <c:pt idx="13">
                  <c:v>-1.1030500005290378E-2</c:v>
                </c:pt>
                <c:pt idx="14">
                  <c:v>-1.1514500001794659E-2</c:v>
                </c:pt>
                <c:pt idx="15">
                  <c:v>-9.8130000042147003E-3</c:v>
                </c:pt>
                <c:pt idx="16">
                  <c:v>-8.8290000057895668E-3</c:v>
                </c:pt>
                <c:pt idx="17">
                  <c:v>-1.4288999998825602E-2</c:v>
                </c:pt>
                <c:pt idx="18">
                  <c:v>-1.4694999998027924E-2</c:v>
                </c:pt>
                <c:pt idx="19">
                  <c:v>-1.4293500003986992E-2</c:v>
                </c:pt>
                <c:pt idx="20">
                  <c:v>-1.5568000009807292E-2</c:v>
                </c:pt>
                <c:pt idx="21">
                  <c:v>-1.4786500003538094E-2</c:v>
                </c:pt>
                <c:pt idx="22">
                  <c:v>-1.4708000002428889E-2</c:v>
                </c:pt>
                <c:pt idx="23">
                  <c:v>-1.3944999998784624E-2</c:v>
                </c:pt>
                <c:pt idx="24">
                  <c:v>-1.4492000002064742E-2</c:v>
                </c:pt>
                <c:pt idx="25">
                  <c:v>-1.4674000005470589E-2</c:v>
                </c:pt>
                <c:pt idx="26">
                  <c:v>-1.6952500001934823E-2</c:v>
                </c:pt>
                <c:pt idx="28">
                  <c:v>-2.2425000002840534E-2</c:v>
                </c:pt>
                <c:pt idx="39">
                  <c:v>-3.1312999795773067E-2</c:v>
                </c:pt>
                <c:pt idx="40">
                  <c:v>-3.0211500008590519E-2</c:v>
                </c:pt>
                <c:pt idx="41">
                  <c:v>-3.0236999999033287E-2</c:v>
                </c:pt>
                <c:pt idx="42">
                  <c:v>-3.1635500003176276E-2</c:v>
                </c:pt>
                <c:pt idx="43">
                  <c:v>-3.4828000003471971E-2</c:v>
                </c:pt>
                <c:pt idx="44">
                  <c:v>-3.5526500003470574E-2</c:v>
                </c:pt>
                <c:pt idx="45">
                  <c:v>-3.5625000004074536E-2</c:v>
                </c:pt>
                <c:pt idx="48">
                  <c:v>-4.4147500004328322E-2</c:v>
                </c:pt>
                <c:pt idx="49">
                  <c:v>-4.4147500004328322E-2</c:v>
                </c:pt>
                <c:pt idx="52">
                  <c:v>-4.9452000006567687E-2</c:v>
                </c:pt>
                <c:pt idx="53">
                  <c:v>-4.6443500206805766E-2</c:v>
                </c:pt>
                <c:pt idx="54">
                  <c:v>-5.2067000004171859E-2</c:v>
                </c:pt>
                <c:pt idx="55">
                  <c:v>-5.2790500005357899E-2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93-4D23-A2AD-82509648386F}"/>
            </c:ext>
          </c:extLst>
        </c:ser>
        <c:ser>
          <c:idx val="2"/>
          <c:order val="3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27">
                  <c:v>-2.1478000002389308E-2</c:v>
                </c:pt>
                <c:pt idx="29">
                  <c:v>-2.5506500001938548E-2</c:v>
                </c:pt>
                <c:pt idx="31">
                  <c:v>-2.5594000006094575E-2</c:v>
                </c:pt>
                <c:pt idx="32">
                  <c:v>-2.5908500007062685E-2</c:v>
                </c:pt>
                <c:pt idx="33">
                  <c:v>-2.627300000312971E-2</c:v>
                </c:pt>
                <c:pt idx="34">
                  <c:v>-2.5896000006468967E-2</c:v>
                </c:pt>
                <c:pt idx="35">
                  <c:v>-2.5994499999796972E-2</c:v>
                </c:pt>
                <c:pt idx="38">
                  <c:v>-3.0405000004975591E-2</c:v>
                </c:pt>
                <c:pt idx="47">
                  <c:v>-4.1775500001676846E-2</c:v>
                </c:pt>
                <c:pt idx="50">
                  <c:v>-4.8361900000600144E-2</c:v>
                </c:pt>
                <c:pt idx="51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93-4D23-A2AD-82509648386F}"/>
            </c:ext>
          </c:extLst>
        </c:ser>
        <c:ser>
          <c:idx val="7"/>
          <c:order val="4"/>
          <c:tx>
            <c:strRef>
              <c:f>'Active 1'!$S$1</c:f>
              <c:strCache>
                <c:ptCount val="1"/>
                <c:pt idx="0">
                  <c:v>Linfit 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'Active 1'!$R$2:$R$12</c:f>
              <c:numCache>
                <c:formatCode>General</c:formatCode>
                <c:ptCount val="11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</c:numCache>
            </c:numRef>
          </c:xVal>
          <c:yVal>
            <c:numRef>
              <c:f>'Active 1'!$S$2:$S$12</c:f>
              <c:numCache>
                <c:formatCode>General</c:formatCode>
                <c:ptCount val="11"/>
                <c:pt idx="0">
                  <c:v>-2.030533947074736E-2</c:v>
                </c:pt>
                <c:pt idx="1">
                  <c:v>-2.4098012789556828E-2</c:v>
                </c:pt>
                <c:pt idx="2">
                  <c:v>-2.7890686108366303E-2</c:v>
                </c:pt>
                <c:pt idx="3">
                  <c:v>-3.1683359427175775E-2</c:v>
                </c:pt>
                <c:pt idx="4">
                  <c:v>-3.5476032745985236E-2</c:v>
                </c:pt>
                <c:pt idx="5">
                  <c:v>-3.9268706064794712E-2</c:v>
                </c:pt>
                <c:pt idx="6">
                  <c:v>-4.3061379383604187E-2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93-4D23-A2AD-82509648386F}"/>
            </c:ext>
          </c:extLst>
        </c:ser>
        <c:ser>
          <c:idx val="0"/>
          <c:order val="5"/>
          <c:tx>
            <c:strRef>
              <c:f>'Active 1'!$U$1</c:f>
              <c:strCache>
                <c:ptCount val="1"/>
                <c:pt idx="0">
                  <c:v>Linfit 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'Active 1'!$T$2:$T$13</c:f>
              <c:numCache>
                <c:formatCode>General</c:formatCode>
                <c:ptCount val="12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</c:numCache>
            </c:numRef>
          </c:xVal>
          <c:yVal>
            <c:numRef>
              <c:f>'Active 1'!$U$2:$U$13</c:f>
              <c:numCache>
                <c:formatCode>General</c:formatCode>
                <c:ptCount val="12"/>
                <c:pt idx="4">
                  <c:v>-3.6509612055548493E-2</c:v>
                </c:pt>
                <c:pt idx="5">
                  <c:v>-3.8682608796444744E-2</c:v>
                </c:pt>
                <c:pt idx="6">
                  <c:v>-4.0855605537341001E-2</c:v>
                </c:pt>
                <c:pt idx="7">
                  <c:v>-4.3028602278237252E-2</c:v>
                </c:pt>
                <c:pt idx="8">
                  <c:v>-4.5201599019133502E-2</c:v>
                </c:pt>
                <c:pt idx="9">
                  <c:v>-4.737459576002976E-2</c:v>
                </c:pt>
                <c:pt idx="10">
                  <c:v>-4.954759250092601E-2</c:v>
                </c:pt>
                <c:pt idx="11">
                  <c:v>-5.1720589241822261E-2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93-4D23-A2AD-825096483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40664"/>
        <c:axId val="1"/>
      </c:scatterChart>
      <c:valAx>
        <c:axId val="466640664"/>
        <c:scaling>
          <c:orientation val="minMax"/>
          <c:max val="20000"/>
          <c:min val="1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783094756546952"/>
              <c:y val="0.906567777512659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344139650872821E-3"/>
              <c:y val="0.3585866539409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406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74826058214043"/>
          <c:y val="0.92677006283305496"/>
          <c:w val="0.5822946570581421"/>
          <c:h val="5.30303030303029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Ari - O-C Diagr.</a:t>
            </a:r>
          </a:p>
        </c:rich>
      </c:tx>
      <c:layout>
        <c:manualLayout>
          <c:xMode val="edge"/>
          <c:yMode val="edge"/>
          <c:x val="0.39039102094220202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80499283010289"/>
          <c:w val="0.81081199971260276"/>
          <c:h val="0.64942710978782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A-42D1-B621-A37E73684DB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10">
                  <c:v>6.6499999957159162E-4</c:v>
                </c:pt>
                <c:pt idx="11">
                  <c:v>-7.6970000081928447E-3</c:v>
                </c:pt>
                <c:pt idx="30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A-42D1-B621-A37E73684DB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36">
                  <c:v>-2.6719000001321547E-2</c:v>
                </c:pt>
                <c:pt idx="37">
                  <c:v>-2.6217500002530869E-2</c:v>
                </c:pt>
                <c:pt idx="46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CA-42D1-B621-A37E73684DB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0">
                  <c:v>3.7200000006123446E-3</c:v>
                </c:pt>
                <c:pt idx="1">
                  <c:v>0</c:v>
                </c:pt>
                <c:pt idx="2">
                  <c:v>-4.0520000038668513E-3</c:v>
                </c:pt>
                <c:pt idx="3">
                  <c:v>7.099999493220821E-5</c:v>
                </c:pt>
                <c:pt idx="4">
                  <c:v>-2.7595000065048225E-3</c:v>
                </c:pt>
                <c:pt idx="5">
                  <c:v>-2.9505000056815334E-3</c:v>
                </c:pt>
                <c:pt idx="6">
                  <c:v>-2.0325000004959293E-3</c:v>
                </c:pt>
                <c:pt idx="7">
                  <c:v>-6.3100000261329114E-4</c:v>
                </c:pt>
                <c:pt idx="8">
                  <c:v>-8.2200000179000199E-4</c:v>
                </c:pt>
                <c:pt idx="9">
                  <c:v>-2.0185000030323863E-3</c:v>
                </c:pt>
                <c:pt idx="12">
                  <c:v>-7.6320000007399358E-3</c:v>
                </c:pt>
                <c:pt idx="13">
                  <c:v>-1.1030500005290378E-2</c:v>
                </c:pt>
                <c:pt idx="14">
                  <c:v>-1.1514500001794659E-2</c:v>
                </c:pt>
                <c:pt idx="15">
                  <c:v>-9.8130000042147003E-3</c:v>
                </c:pt>
                <c:pt idx="16">
                  <c:v>-8.8290000057895668E-3</c:v>
                </c:pt>
                <c:pt idx="17">
                  <c:v>-1.4288999998825602E-2</c:v>
                </c:pt>
                <c:pt idx="18">
                  <c:v>-1.4694999998027924E-2</c:v>
                </c:pt>
                <c:pt idx="19">
                  <c:v>-1.4293500003986992E-2</c:v>
                </c:pt>
                <c:pt idx="20">
                  <c:v>-1.5568000009807292E-2</c:v>
                </c:pt>
                <c:pt idx="21">
                  <c:v>-1.4786500003538094E-2</c:v>
                </c:pt>
                <c:pt idx="22">
                  <c:v>-1.4708000002428889E-2</c:v>
                </c:pt>
                <c:pt idx="23">
                  <c:v>-1.3944999998784624E-2</c:v>
                </c:pt>
                <c:pt idx="24">
                  <c:v>-1.4492000002064742E-2</c:v>
                </c:pt>
                <c:pt idx="25">
                  <c:v>-1.4674000005470589E-2</c:v>
                </c:pt>
                <c:pt idx="26">
                  <c:v>-1.6952500001934823E-2</c:v>
                </c:pt>
                <c:pt idx="28">
                  <c:v>-2.2425000002840534E-2</c:v>
                </c:pt>
                <c:pt idx="39">
                  <c:v>-3.1312999795773067E-2</c:v>
                </c:pt>
                <c:pt idx="40">
                  <c:v>-3.0211500008590519E-2</c:v>
                </c:pt>
                <c:pt idx="41">
                  <c:v>-3.0236999999033287E-2</c:v>
                </c:pt>
                <c:pt idx="42">
                  <c:v>-3.1635500003176276E-2</c:v>
                </c:pt>
                <c:pt idx="43">
                  <c:v>-3.4828000003471971E-2</c:v>
                </c:pt>
                <c:pt idx="44">
                  <c:v>-3.5526500003470574E-2</c:v>
                </c:pt>
                <c:pt idx="45">
                  <c:v>-3.5625000004074536E-2</c:v>
                </c:pt>
                <c:pt idx="48">
                  <c:v>-4.4147500004328322E-2</c:v>
                </c:pt>
                <c:pt idx="49">
                  <c:v>-4.4147500004328322E-2</c:v>
                </c:pt>
                <c:pt idx="52">
                  <c:v>-4.9452000006567687E-2</c:v>
                </c:pt>
                <c:pt idx="53">
                  <c:v>-4.6443500206805766E-2</c:v>
                </c:pt>
                <c:pt idx="54">
                  <c:v>-5.2067000004171859E-2</c:v>
                </c:pt>
                <c:pt idx="55">
                  <c:v>-5.2790500005357899E-2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CA-42D1-B621-A37E73684DB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  <c:pt idx="27">
                  <c:v>-2.1478000002389308E-2</c:v>
                </c:pt>
                <c:pt idx="29">
                  <c:v>-2.5506500001938548E-2</c:v>
                </c:pt>
                <c:pt idx="31">
                  <c:v>-2.5594000006094575E-2</c:v>
                </c:pt>
                <c:pt idx="32">
                  <c:v>-2.5908500007062685E-2</c:v>
                </c:pt>
                <c:pt idx="33">
                  <c:v>-2.627300000312971E-2</c:v>
                </c:pt>
                <c:pt idx="34">
                  <c:v>-2.5896000006468967E-2</c:v>
                </c:pt>
                <c:pt idx="35">
                  <c:v>-2.5994499999796972E-2</c:v>
                </c:pt>
                <c:pt idx="38">
                  <c:v>-3.0405000004975591E-2</c:v>
                </c:pt>
                <c:pt idx="47">
                  <c:v>-4.1775500001676846E-2</c:v>
                </c:pt>
                <c:pt idx="50">
                  <c:v>-4.8361900000600144E-2</c:v>
                </c:pt>
                <c:pt idx="51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CA-42D1-B621-A37E73684DB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CA-42D1-B621-A37E73684DB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CA-42D1-B621-A37E73684DB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2'!$O$21:$O$981</c:f>
              <c:numCache>
                <c:formatCode>General</c:formatCode>
                <c:ptCount val="961"/>
                <c:pt idx="3">
                  <c:v>3.7534837271205202E-3</c:v>
                </c:pt>
                <c:pt idx="4">
                  <c:v>3.5391976846077845E-3</c:v>
                </c:pt>
                <c:pt idx="5">
                  <c:v>3.5278196646513563E-3</c:v>
                </c:pt>
                <c:pt idx="6">
                  <c:v>3.5050636247384998E-3</c:v>
                </c:pt>
                <c:pt idx="7">
                  <c:v>3.503167288079095E-3</c:v>
                </c:pt>
                <c:pt idx="8">
                  <c:v>3.4917892681226668E-3</c:v>
                </c:pt>
                <c:pt idx="9">
                  <c:v>3.3609420386237401E-3</c:v>
                </c:pt>
                <c:pt idx="10">
                  <c:v>-1.5486735725751197E-3</c:v>
                </c:pt>
                <c:pt idx="11">
                  <c:v>-5.1365425321688793E-3</c:v>
                </c:pt>
                <c:pt idx="12">
                  <c:v>-8.3792782197509783E-3</c:v>
                </c:pt>
                <c:pt idx="13">
                  <c:v>-8.3811745564103812E-3</c:v>
                </c:pt>
                <c:pt idx="14">
                  <c:v>-8.6542470353646629E-3</c:v>
                </c:pt>
                <c:pt idx="15">
                  <c:v>-8.6561433720240694E-3</c:v>
                </c:pt>
                <c:pt idx="16">
                  <c:v>-9.141605556831682E-3</c:v>
                </c:pt>
                <c:pt idx="17">
                  <c:v>-1.2099890745503068E-2</c:v>
                </c:pt>
                <c:pt idx="18">
                  <c:v>-1.3230107394508292E-2</c:v>
                </c:pt>
                <c:pt idx="19">
                  <c:v>-1.3232003731167695E-2</c:v>
                </c:pt>
                <c:pt idx="20">
                  <c:v>-1.3491801853506145E-2</c:v>
                </c:pt>
                <c:pt idx="21">
                  <c:v>-1.3493698190165548E-2</c:v>
                </c:pt>
                <c:pt idx="22">
                  <c:v>-1.3719362252634714E-2</c:v>
                </c:pt>
                <c:pt idx="23">
                  <c:v>-1.383693512551781E-2</c:v>
                </c:pt>
                <c:pt idx="24">
                  <c:v>-1.3992434731588992E-2</c:v>
                </c:pt>
                <c:pt idx="25">
                  <c:v>-1.4015190771501849E-2</c:v>
                </c:pt>
                <c:pt idx="26">
                  <c:v>-1.4017087108161259E-2</c:v>
                </c:pt>
                <c:pt idx="27">
                  <c:v>-2.1342635623441752E-2</c:v>
                </c:pt>
                <c:pt idx="28">
                  <c:v>-2.2673863958343875E-2</c:v>
                </c:pt>
                <c:pt idx="29">
                  <c:v>-2.5478545877603478E-2</c:v>
                </c:pt>
                <c:pt idx="30">
                  <c:v>-2.5497509244197521E-2</c:v>
                </c:pt>
                <c:pt idx="31">
                  <c:v>-2.5620771127058833E-2</c:v>
                </c:pt>
                <c:pt idx="32">
                  <c:v>-2.5728862316644899E-2</c:v>
                </c:pt>
                <c:pt idx="33">
                  <c:v>-2.6026587172171444E-2</c:v>
                </c:pt>
                <c:pt idx="34">
                  <c:v>-2.6250354897981203E-2</c:v>
                </c:pt>
                <c:pt idx="35">
                  <c:v>-2.6252251234640606E-2</c:v>
                </c:pt>
                <c:pt idx="36">
                  <c:v>-2.6853389955671911E-2</c:v>
                </c:pt>
                <c:pt idx="37">
                  <c:v>-2.6855286292331314E-2</c:v>
                </c:pt>
                <c:pt idx="38">
                  <c:v>-3.0410917528715196E-2</c:v>
                </c:pt>
                <c:pt idx="39">
                  <c:v>-3.0653648621118999E-2</c:v>
                </c:pt>
                <c:pt idx="40">
                  <c:v>-3.0655544957778409E-2</c:v>
                </c:pt>
                <c:pt idx="41">
                  <c:v>-3.1002574566449472E-2</c:v>
                </c:pt>
                <c:pt idx="42">
                  <c:v>-3.1004470903108875E-2</c:v>
                </c:pt>
                <c:pt idx="43">
                  <c:v>-3.5185893237096325E-2</c:v>
                </c:pt>
                <c:pt idx="44">
                  <c:v>-3.5187789573755721E-2</c:v>
                </c:pt>
                <c:pt idx="45">
                  <c:v>-3.518968591041513E-2</c:v>
                </c:pt>
                <c:pt idx="46">
                  <c:v>-4.0298416870851492E-2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CA-42D1-B621-A37E73684DBC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2'!$V$2:$V$25</c:f>
              <c:numCache>
                <c:formatCode>General</c:formatCode>
                <c:ptCount val="2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</c:numCache>
            </c:numRef>
          </c:xVal>
          <c:yVal>
            <c:numRef>
              <c:f>'Active 2'!$W$2:$W$25</c:f>
              <c:numCache>
                <c:formatCode>General</c:formatCode>
                <c:ptCount val="2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CA-42D1-B621-A37E73684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1096"/>
        <c:axId val="1"/>
      </c:scatterChart>
      <c:valAx>
        <c:axId val="456991096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482999969831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931155157329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720752248311303"/>
          <c:y val="0.92529007149968323"/>
          <c:w val="0.93843985718001466"/>
          <c:h val="0.98276163755392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Ari - O-C Diagr.</a:t>
            </a:r>
          </a:p>
        </c:rich>
      </c:tx>
      <c:layout>
        <c:manualLayout>
          <c:xMode val="edge"/>
          <c:yMode val="edge"/>
          <c:x val="0.39130466262931524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4121037463976946"/>
          <c:w val="0.82009055537457498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F6-4602-A4A8-ED1258610FF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10">
                  <c:v>6.6499999957159162E-4</c:v>
                </c:pt>
                <c:pt idx="11">
                  <c:v>-7.6970000081928447E-3</c:v>
                </c:pt>
                <c:pt idx="30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F6-4602-A4A8-ED1258610FF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36">
                  <c:v>-2.6719000001321547E-2</c:v>
                </c:pt>
                <c:pt idx="37">
                  <c:v>-2.6217500002530869E-2</c:v>
                </c:pt>
                <c:pt idx="46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F6-4602-A4A8-ED1258610FF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0">
                  <c:v>3.7200000006123446E-3</c:v>
                </c:pt>
                <c:pt idx="1">
                  <c:v>0</c:v>
                </c:pt>
                <c:pt idx="2">
                  <c:v>-4.0520000038668513E-3</c:v>
                </c:pt>
                <c:pt idx="3">
                  <c:v>7.099999493220821E-5</c:v>
                </c:pt>
                <c:pt idx="4">
                  <c:v>-2.7595000065048225E-3</c:v>
                </c:pt>
                <c:pt idx="5">
                  <c:v>-2.9505000056815334E-3</c:v>
                </c:pt>
                <c:pt idx="6">
                  <c:v>-2.0325000004959293E-3</c:v>
                </c:pt>
                <c:pt idx="7">
                  <c:v>-6.3100000261329114E-4</c:v>
                </c:pt>
                <c:pt idx="8">
                  <c:v>-8.2200000179000199E-4</c:v>
                </c:pt>
                <c:pt idx="9">
                  <c:v>-2.0185000030323863E-3</c:v>
                </c:pt>
                <c:pt idx="12">
                  <c:v>-7.6320000007399358E-3</c:v>
                </c:pt>
                <c:pt idx="13">
                  <c:v>-1.1030500005290378E-2</c:v>
                </c:pt>
                <c:pt idx="14">
                  <c:v>-1.1514500001794659E-2</c:v>
                </c:pt>
                <c:pt idx="15">
                  <c:v>-9.8130000042147003E-3</c:v>
                </c:pt>
                <c:pt idx="16">
                  <c:v>-8.8290000057895668E-3</c:v>
                </c:pt>
                <c:pt idx="17">
                  <c:v>-1.4288999998825602E-2</c:v>
                </c:pt>
                <c:pt idx="18">
                  <c:v>-1.4694999998027924E-2</c:v>
                </c:pt>
                <c:pt idx="19">
                  <c:v>-1.4293500003986992E-2</c:v>
                </c:pt>
                <c:pt idx="20">
                  <c:v>-1.5568000009807292E-2</c:v>
                </c:pt>
                <c:pt idx="21">
                  <c:v>-1.4786500003538094E-2</c:v>
                </c:pt>
                <c:pt idx="22">
                  <c:v>-1.4708000002428889E-2</c:v>
                </c:pt>
                <c:pt idx="23">
                  <c:v>-1.3944999998784624E-2</c:v>
                </c:pt>
                <c:pt idx="24">
                  <c:v>-1.4492000002064742E-2</c:v>
                </c:pt>
                <c:pt idx="25">
                  <c:v>-1.4674000005470589E-2</c:v>
                </c:pt>
                <c:pt idx="26">
                  <c:v>-1.6952500001934823E-2</c:v>
                </c:pt>
                <c:pt idx="28">
                  <c:v>-2.2425000002840534E-2</c:v>
                </c:pt>
                <c:pt idx="39">
                  <c:v>-3.1312999795773067E-2</c:v>
                </c:pt>
                <c:pt idx="40">
                  <c:v>-3.0211500008590519E-2</c:v>
                </c:pt>
                <c:pt idx="41">
                  <c:v>-3.0236999999033287E-2</c:v>
                </c:pt>
                <c:pt idx="42">
                  <c:v>-3.1635500003176276E-2</c:v>
                </c:pt>
                <c:pt idx="43">
                  <c:v>-3.4828000003471971E-2</c:v>
                </c:pt>
                <c:pt idx="44">
                  <c:v>-3.5526500003470574E-2</c:v>
                </c:pt>
                <c:pt idx="45">
                  <c:v>-3.5625000004074536E-2</c:v>
                </c:pt>
                <c:pt idx="48">
                  <c:v>-4.4147500004328322E-2</c:v>
                </c:pt>
                <c:pt idx="49">
                  <c:v>-4.4147500004328322E-2</c:v>
                </c:pt>
                <c:pt idx="52">
                  <c:v>-4.9452000006567687E-2</c:v>
                </c:pt>
                <c:pt idx="53">
                  <c:v>-4.6443500206805766E-2</c:v>
                </c:pt>
                <c:pt idx="54">
                  <c:v>-5.2067000004171859E-2</c:v>
                </c:pt>
                <c:pt idx="55">
                  <c:v>-5.2790500005357899E-2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F6-4602-A4A8-ED1258610FF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  <c:pt idx="27">
                  <c:v>-2.1478000002389308E-2</c:v>
                </c:pt>
                <c:pt idx="29">
                  <c:v>-2.5506500001938548E-2</c:v>
                </c:pt>
                <c:pt idx="31">
                  <c:v>-2.5594000006094575E-2</c:v>
                </c:pt>
                <c:pt idx="32">
                  <c:v>-2.5908500007062685E-2</c:v>
                </c:pt>
                <c:pt idx="33">
                  <c:v>-2.627300000312971E-2</c:v>
                </c:pt>
                <c:pt idx="34">
                  <c:v>-2.5896000006468967E-2</c:v>
                </c:pt>
                <c:pt idx="35">
                  <c:v>-2.5994499999796972E-2</c:v>
                </c:pt>
                <c:pt idx="38">
                  <c:v>-3.0405000004975591E-2</c:v>
                </c:pt>
                <c:pt idx="47">
                  <c:v>-4.1775500001676846E-2</c:v>
                </c:pt>
                <c:pt idx="50">
                  <c:v>-4.8361900000600144E-2</c:v>
                </c:pt>
                <c:pt idx="51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F6-4602-A4A8-ED1258610FF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F6-4602-A4A8-ED1258610FF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F6-4602-A4A8-ED1258610FF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2'!$F$21:$F$1981</c:f>
              <c:numCache>
                <c:formatCode>General</c:formatCode>
                <c:ptCount val="1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2'!$O$21:$O$1981</c:f>
              <c:numCache>
                <c:formatCode>General</c:formatCode>
                <c:ptCount val="1961"/>
                <c:pt idx="3">
                  <c:v>3.7534837271205202E-3</c:v>
                </c:pt>
                <c:pt idx="4">
                  <c:v>3.5391976846077845E-3</c:v>
                </c:pt>
                <c:pt idx="5">
                  <c:v>3.5278196646513563E-3</c:v>
                </c:pt>
                <c:pt idx="6">
                  <c:v>3.5050636247384998E-3</c:v>
                </c:pt>
                <c:pt idx="7">
                  <c:v>3.503167288079095E-3</c:v>
                </c:pt>
                <c:pt idx="8">
                  <c:v>3.4917892681226668E-3</c:v>
                </c:pt>
                <c:pt idx="9">
                  <c:v>3.3609420386237401E-3</c:v>
                </c:pt>
                <c:pt idx="10">
                  <c:v>-1.5486735725751197E-3</c:v>
                </c:pt>
                <c:pt idx="11">
                  <c:v>-5.1365425321688793E-3</c:v>
                </c:pt>
                <c:pt idx="12">
                  <c:v>-8.3792782197509783E-3</c:v>
                </c:pt>
                <c:pt idx="13">
                  <c:v>-8.3811745564103812E-3</c:v>
                </c:pt>
                <c:pt idx="14">
                  <c:v>-8.6542470353646629E-3</c:v>
                </c:pt>
                <c:pt idx="15">
                  <c:v>-8.6561433720240694E-3</c:v>
                </c:pt>
                <c:pt idx="16">
                  <c:v>-9.141605556831682E-3</c:v>
                </c:pt>
                <c:pt idx="17">
                  <c:v>-1.2099890745503068E-2</c:v>
                </c:pt>
                <c:pt idx="18">
                  <c:v>-1.3230107394508292E-2</c:v>
                </c:pt>
                <c:pt idx="19">
                  <c:v>-1.3232003731167695E-2</c:v>
                </c:pt>
                <c:pt idx="20">
                  <c:v>-1.3491801853506145E-2</c:v>
                </c:pt>
                <c:pt idx="21">
                  <c:v>-1.3493698190165548E-2</c:v>
                </c:pt>
                <c:pt idx="22">
                  <c:v>-1.3719362252634714E-2</c:v>
                </c:pt>
                <c:pt idx="23">
                  <c:v>-1.383693512551781E-2</c:v>
                </c:pt>
                <c:pt idx="24">
                  <c:v>-1.3992434731588992E-2</c:v>
                </c:pt>
                <c:pt idx="25">
                  <c:v>-1.4015190771501849E-2</c:v>
                </c:pt>
                <c:pt idx="26">
                  <c:v>-1.4017087108161259E-2</c:v>
                </c:pt>
                <c:pt idx="27">
                  <c:v>-2.1342635623441752E-2</c:v>
                </c:pt>
                <c:pt idx="28">
                  <c:v>-2.2673863958343875E-2</c:v>
                </c:pt>
                <c:pt idx="29">
                  <c:v>-2.5478545877603478E-2</c:v>
                </c:pt>
                <c:pt idx="30">
                  <c:v>-2.5497509244197521E-2</c:v>
                </c:pt>
                <c:pt idx="31">
                  <c:v>-2.5620771127058833E-2</c:v>
                </c:pt>
                <c:pt idx="32">
                  <c:v>-2.5728862316644899E-2</c:v>
                </c:pt>
                <c:pt idx="33">
                  <c:v>-2.6026587172171444E-2</c:v>
                </c:pt>
                <c:pt idx="34">
                  <c:v>-2.6250354897981203E-2</c:v>
                </c:pt>
                <c:pt idx="35">
                  <c:v>-2.6252251234640606E-2</c:v>
                </c:pt>
                <c:pt idx="36">
                  <c:v>-2.6853389955671911E-2</c:v>
                </c:pt>
                <c:pt idx="37">
                  <c:v>-2.6855286292331314E-2</c:v>
                </c:pt>
                <c:pt idx="38">
                  <c:v>-3.0410917528715196E-2</c:v>
                </c:pt>
                <c:pt idx="39">
                  <c:v>-3.0653648621118999E-2</c:v>
                </c:pt>
                <c:pt idx="40">
                  <c:v>-3.0655544957778409E-2</c:v>
                </c:pt>
                <c:pt idx="41">
                  <c:v>-3.1002574566449472E-2</c:v>
                </c:pt>
                <c:pt idx="42">
                  <c:v>-3.1004470903108875E-2</c:v>
                </c:pt>
                <c:pt idx="43">
                  <c:v>-3.5185893237096325E-2</c:v>
                </c:pt>
                <c:pt idx="44">
                  <c:v>-3.5187789573755721E-2</c:v>
                </c:pt>
                <c:pt idx="45">
                  <c:v>-3.518968591041513E-2</c:v>
                </c:pt>
                <c:pt idx="46">
                  <c:v>-4.0298416870851492E-2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F6-4602-A4A8-ED1258610FF5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2'!$V$2:$V$25</c:f>
              <c:numCache>
                <c:formatCode>General</c:formatCode>
                <c:ptCount val="2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</c:numCache>
            </c:numRef>
          </c:xVal>
          <c:yVal>
            <c:numRef>
              <c:f>'Active 2'!$W$2:$W$25</c:f>
              <c:numCache>
                <c:formatCode>General</c:formatCode>
                <c:ptCount val="2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F6-4602-A4A8-ED1258610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8640"/>
        <c:axId val="1"/>
      </c:scatterChart>
      <c:valAx>
        <c:axId val="45699864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869561282355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8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3989580013143"/>
          <c:y val="0.9250720461095101"/>
          <c:w val="0.73013540473857552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1410645982635E-2"/>
          <c:y val="5.6122448979591837E-2"/>
          <c:w val="0.88902642921693731"/>
          <c:h val="0.7882653061224489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10">
                  <c:v>6.6499999957159162E-4</c:v>
                </c:pt>
                <c:pt idx="11">
                  <c:v>-7.6970000081928447E-3</c:v>
                </c:pt>
                <c:pt idx="30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AC-4CED-8440-9A5CA2E19B45}"/>
            </c:ext>
          </c:extLst>
        </c:ser>
        <c:ser>
          <c:idx val="3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36">
                  <c:v>-2.6719000001321547E-2</c:v>
                </c:pt>
                <c:pt idx="37">
                  <c:v>-2.6217500002530869E-2</c:v>
                </c:pt>
                <c:pt idx="46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AC-4CED-8440-9A5CA2E19B45}"/>
            </c:ext>
          </c:extLst>
        </c:ser>
        <c:ser>
          <c:idx val="4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0">
                  <c:v>3.7200000006123446E-3</c:v>
                </c:pt>
                <c:pt idx="1">
                  <c:v>0</c:v>
                </c:pt>
                <c:pt idx="2">
                  <c:v>-4.0520000038668513E-3</c:v>
                </c:pt>
                <c:pt idx="3">
                  <c:v>7.099999493220821E-5</c:v>
                </c:pt>
                <c:pt idx="4">
                  <c:v>-2.7595000065048225E-3</c:v>
                </c:pt>
                <c:pt idx="5">
                  <c:v>-2.9505000056815334E-3</c:v>
                </c:pt>
                <c:pt idx="6">
                  <c:v>-2.0325000004959293E-3</c:v>
                </c:pt>
                <c:pt idx="7">
                  <c:v>-6.3100000261329114E-4</c:v>
                </c:pt>
                <c:pt idx="8">
                  <c:v>-8.2200000179000199E-4</c:v>
                </c:pt>
                <c:pt idx="9">
                  <c:v>-2.0185000030323863E-3</c:v>
                </c:pt>
                <c:pt idx="12">
                  <c:v>-7.6320000007399358E-3</c:v>
                </c:pt>
                <c:pt idx="13">
                  <c:v>-1.1030500005290378E-2</c:v>
                </c:pt>
                <c:pt idx="14">
                  <c:v>-1.1514500001794659E-2</c:v>
                </c:pt>
                <c:pt idx="15">
                  <c:v>-9.8130000042147003E-3</c:v>
                </c:pt>
                <c:pt idx="16">
                  <c:v>-8.8290000057895668E-3</c:v>
                </c:pt>
                <c:pt idx="17">
                  <c:v>-1.4288999998825602E-2</c:v>
                </c:pt>
                <c:pt idx="18">
                  <c:v>-1.4694999998027924E-2</c:v>
                </c:pt>
                <c:pt idx="19">
                  <c:v>-1.4293500003986992E-2</c:v>
                </c:pt>
                <c:pt idx="20">
                  <c:v>-1.5568000009807292E-2</c:v>
                </c:pt>
                <c:pt idx="21">
                  <c:v>-1.4786500003538094E-2</c:v>
                </c:pt>
                <c:pt idx="22">
                  <c:v>-1.4708000002428889E-2</c:v>
                </c:pt>
                <c:pt idx="23">
                  <c:v>-1.3944999998784624E-2</c:v>
                </c:pt>
                <c:pt idx="24">
                  <c:v>-1.4492000002064742E-2</c:v>
                </c:pt>
                <c:pt idx="25">
                  <c:v>-1.4674000005470589E-2</c:v>
                </c:pt>
                <c:pt idx="26">
                  <c:v>-1.6952500001934823E-2</c:v>
                </c:pt>
                <c:pt idx="28">
                  <c:v>-2.2425000002840534E-2</c:v>
                </c:pt>
                <c:pt idx="39">
                  <c:v>-3.1312999795773067E-2</c:v>
                </c:pt>
                <c:pt idx="40">
                  <c:v>-3.0211500008590519E-2</c:v>
                </c:pt>
                <c:pt idx="41">
                  <c:v>-3.0236999999033287E-2</c:v>
                </c:pt>
                <c:pt idx="42">
                  <c:v>-3.1635500003176276E-2</c:v>
                </c:pt>
                <c:pt idx="43">
                  <c:v>-3.4828000003471971E-2</c:v>
                </c:pt>
                <c:pt idx="44">
                  <c:v>-3.5526500003470574E-2</c:v>
                </c:pt>
                <c:pt idx="45">
                  <c:v>-3.5625000004074536E-2</c:v>
                </c:pt>
                <c:pt idx="48">
                  <c:v>-4.4147500004328322E-2</c:v>
                </c:pt>
                <c:pt idx="49">
                  <c:v>-4.4147500004328322E-2</c:v>
                </c:pt>
                <c:pt idx="52">
                  <c:v>-4.9452000006567687E-2</c:v>
                </c:pt>
                <c:pt idx="53">
                  <c:v>-4.6443500206805766E-2</c:v>
                </c:pt>
                <c:pt idx="54">
                  <c:v>-5.2067000004171859E-2</c:v>
                </c:pt>
                <c:pt idx="55">
                  <c:v>-5.2790500005357899E-2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AC-4CED-8440-9A5CA2E19B45}"/>
            </c:ext>
          </c:extLst>
        </c:ser>
        <c:ser>
          <c:idx val="2"/>
          <c:order val="3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  <c:pt idx="27">
                  <c:v>-2.1478000002389308E-2</c:v>
                </c:pt>
                <c:pt idx="29">
                  <c:v>-2.5506500001938548E-2</c:v>
                </c:pt>
                <c:pt idx="31">
                  <c:v>-2.5594000006094575E-2</c:v>
                </c:pt>
                <c:pt idx="32">
                  <c:v>-2.5908500007062685E-2</c:v>
                </c:pt>
                <c:pt idx="33">
                  <c:v>-2.627300000312971E-2</c:v>
                </c:pt>
                <c:pt idx="34">
                  <c:v>-2.5896000006468967E-2</c:v>
                </c:pt>
                <c:pt idx="35">
                  <c:v>-2.5994499999796972E-2</c:v>
                </c:pt>
                <c:pt idx="38">
                  <c:v>-3.0405000004975591E-2</c:v>
                </c:pt>
                <c:pt idx="47">
                  <c:v>-4.1775500001676846E-2</c:v>
                </c:pt>
                <c:pt idx="50">
                  <c:v>-4.8361900000600144E-2</c:v>
                </c:pt>
                <c:pt idx="51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AC-4CED-8440-9A5CA2E19B45}"/>
            </c:ext>
          </c:extLst>
        </c:ser>
        <c:ser>
          <c:idx val="8"/>
          <c:order val="4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2'!$V$2:$V$25</c:f>
              <c:numCache>
                <c:formatCode>General</c:formatCode>
                <c:ptCount val="2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</c:numCache>
            </c:numRef>
          </c:xVal>
          <c:yVal>
            <c:numRef>
              <c:f>'Active 2'!$W$2:$W$25</c:f>
              <c:numCache>
                <c:formatCode>General</c:formatCode>
                <c:ptCount val="2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AC-4CED-8440-9A5CA2E19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1752"/>
        <c:axId val="1"/>
      </c:scatterChart>
      <c:valAx>
        <c:axId val="456991752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806463618681451"/>
              <c:y val="0.905612244897959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652281134401974E-3"/>
              <c:y val="0.35714285714285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17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39717014411421"/>
          <c:y val="0.92602040816326525"/>
          <c:w val="0.3760791738270694"/>
          <c:h val="5.35714285714286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Ari -- O-C Diagr.</a:t>
            </a:r>
          </a:p>
        </c:rich>
      </c:tx>
      <c:layout>
        <c:manualLayout>
          <c:xMode val="edge"/>
          <c:yMode val="edge"/>
          <c:x val="0.4069917852028796"/>
          <c:y val="3.3078880407124679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8463198422868E-2"/>
          <c:y val="0.12977131483409579"/>
          <c:w val="0.87890244482293234"/>
          <c:h val="0.7150144993800179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10">
                  <c:v>6.6499999957159162E-4</c:v>
                </c:pt>
                <c:pt idx="11">
                  <c:v>-7.6970000081928447E-3</c:v>
                </c:pt>
                <c:pt idx="30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30-4FE0-8DCE-7E57BF317C51}"/>
            </c:ext>
          </c:extLst>
        </c:ser>
        <c:ser>
          <c:idx val="3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36">
                  <c:v>-2.6719000001321547E-2</c:v>
                </c:pt>
                <c:pt idx="37">
                  <c:v>-2.6217500002530869E-2</c:v>
                </c:pt>
                <c:pt idx="46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30-4FE0-8DCE-7E57BF317C51}"/>
            </c:ext>
          </c:extLst>
        </c:ser>
        <c:ser>
          <c:idx val="4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0">
                  <c:v>3.7200000006123446E-3</c:v>
                </c:pt>
                <c:pt idx="1">
                  <c:v>0</c:v>
                </c:pt>
                <c:pt idx="2">
                  <c:v>-4.0520000038668513E-3</c:v>
                </c:pt>
                <c:pt idx="3">
                  <c:v>7.099999493220821E-5</c:v>
                </c:pt>
                <c:pt idx="4">
                  <c:v>-2.7595000065048225E-3</c:v>
                </c:pt>
                <c:pt idx="5">
                  <c:v>-2.9505000056815334E-3</c:v>
                </c:pt>
                <c:pt idx="6">
                  <c:v>-2.0325000004959293E-3</c:v>
                </c:pt>
                <c:pt idx="7">
                  <c:v>-6.3100000261329114E-4</c:v>
                </c:pt>
                <c:pt idx="8">
                  <c:v>-8.2200000179000199E-4</c:v>
                </c:pt>
                <c:pt idx="9">
                  <c:v>-2.0185000030323863E-3</c:v>
                </c:pt>
                <c:pt idx="12">
                  <c:v>-7.6320000007399358E-3</c:v>
                </c:pt>
                <c:pt idx="13">
                  <c:v>-1.1030500005290378E-2</c:v>
                </c:pt>
                <c:pt idx="14">
                  <c:v>-1.1514500001794659E-2</c:v>
                </c:pt>
                <c:pt idx="15">
                  <c:v>-9.8130000042147003E-3</c:v>
                </c:pt>
                <c:pt idx="16">
                  <c:v>-8.8290000057895668E-3</c:v>
                </c:pt>
                <c:pt idx="17">
                  <c:v>-1.4288999998825602E-2</c:v>
                </c:pt>
                <c:pt idx="18">
                  <c:v>-1.4694999998027924E-2</c:v>
                </c:pt>
                <c:pt idx="19">
                  <c:v>-1.4293500003986992E-2</c:v>
                </c:pt>
                <c:pt idx="20">
                  <c:v>-1.5568000009807292E-2</c:v>
                </c:pt>
                <c:pt idx="21">
                  <c:v>-1.4786500003538094E-2</c:v>
                </c:pt>
                <c:pt idx="22">
                  <c:v>-1.4708000002428889E-2</c:v>
                </c:pt>
                <c:pt idx="23">
                  <c:v>-1.3944999998784624E-2</c:v>
                </c:pt>
                <c:pt idx="24">
                  <c:v>-1.4492000002064742E-2</c:v>
                </c:pt>
                <c:pt idx="25">
                  <c:v>-1.4674000005470589E-2</c:v>
                </c:pt>
                <c:pt idx="26">
                  <c:v>-1.6952500001934823E-2</c:v>
                </c:pt>
                <c:pt idx="28">
                  <c:v>-2.2425000002840534E-2</c:v>
                </c:pt>
                <c:pt idx="39">
                  <c:v>-3.1312999795773067E-2</c:v>
                </c:pt>
                <c:pt idx="40">
                  <c:v>-3.0211500008590519E-2</c:v>
                </c:pt>
                <c:pt idx="41">
                  <c:v>-3.0236999999033287E-2</c:v>
                </c:pt>
                <c:pt idx="42">
                  <c:v>-3.1635500003176276E-2</c:v>
                </c:pt>
                <c:pt idx="43">
                  <c:v>-3.4828000003471971E-2</c:v>
                </c:pt>
                <c:pt idx="44">
                  <c:v>-3.5526500003470574E-2</c:v>
                </c:pt>
                <c:pt idx="45">
                  <c:v>-3.5625000004074536E-2</c:v>
                </c:pt>
                <c:pt idx="48">
                  <c:v>-4.4147500004328322E-2</c:v>
                </c:pt>
                <c:pt idx="49">
                  <c:v>-4.4147500004328322E-2</c:v>
                </c:pt>
                <c:pt idx="52">
                  <c:v>-4.9452000006567687E-2</c:v>
                </c:pt>
                <c:pt idx="53">
                  <c:v>-4.6443500206805766E-2</c:v>
                </c:pt>
                <c:pt idx="54">
                  <c:v>-5.2067000004171859E-2</c:v>
                </c:pt>
                <c:pt idx="55">
                  <c:v>-5.2790500005357899E-2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30-4FE0-8DCE-7E57BF317C51}"/>
            </c:ext>
          </c:extLst>
        </c:ser>
        <c:ser>
          <c:idx val="2"/>
          <c:order val="3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  <c:pt idx="27">
                  <c:v>-2.1478000002389308E-2</c:v>
                </c:pt>
                <c:pt idx="29">
                  <c:v>-2.5506500001938548E-2</c:v>
                </c:pt>
                <c:pt idx="31">
                  <c:v>-2.5594000006094575E-2</c:v>
                </c:pt>
                <c:pt idx="32">
                  <c:v>-2.5908500007062685E-2</c:v>
                </c:pt>
                <c:pt idx="33">
                  <c:v>-2.627300000312971E-2</c:v>
                </c:pt>
                <c:pt idx="34">
                  <c:v>-2.5896000006468967E-2</c:v>
                </c:pt>
                <c:pt idx="35">
                  <c:v>-2.5994499999796972E-2</c:v>
                </c:pt>
                <c:pt idx="38">
                  <c:v>-3.0405000004975591E-2</c:v>
                </c:pt>
                <c:pt idx="47">
                  <c:v>-4.1775500001676846E-2</c:v>
                </c:pt>
                <c:pt idx="50">
                  <c:v>-4.8361900000600144E-2</c:v>
                </c:pt>
                <c:pt idx="51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30-4FE0-8DCE-7E57BF317C51}"/>
            </c:ext>
          </c:extLst>
        </c:ser>
        <c:ser>
          <c:idx val="7"/>
          <c:order val="4"/>
          <c:tx>
            <c:strRef>
              <c:f>'Active 2'!$S$1</c:f>
              <c:strCache>
                <c:ptCount val="1"/>
                <c:pt idx="0">
                  <c:v>Linfit 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'Active 2'!$R$2:$R$12</c:f>
              <c:numCache>
                <c:formatCode>General</c:formatCode>
                <c:ptCount val="11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</c:numCache>
            </c:numRef>
          </c:xVal>
          <c:yVal>
            <c:numRef>
              <c:f>'Active 2'!$S$2:$S$12</c:f>
              <c:numCache>
                <c:formatCode>General</c:formatCode>
                <c:ptCount val="11"/>
                <c:pt idx="0">
                  <c:v>-2.030533947074736E-2</c:v>
                </c:pt>
                <c:pt idx="1">
                  <c:v>-2.4098012789556828E-2</c:v>
                </c:pt>
                <c:pt idx="2">
                  <c:v>-2.7890686108366303E-2</c:v>
                </c:pt>
                <c:pt idx="3">
                  <c:v>-3.1683359427175775E-2</c:v>
                </c:pt>
                <c:pt idx="4">
                  <c:v>-3.5476032745985236E-2</c:v>
                </c:pt>
                <c:pt idx="5">
                  <c:v>-3.9268706064794712E-2</c:v>
                </c:pt>
                <c:pt idx="6">
                  <c:v>-4.3061379383604187E-2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30-4FE0-8DCE-7E57BF317C51}"/>
            </c:ext>
          </c:extLst>
        </c:ser>
        <c:ser>
          <c:idx val="8"/>
          <c:order val="5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2'!$V$2:$V$25</c:f>
              <c:numCache>
                <c:formatCode>General</c:formatCode>
                <c:ptCount val="2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</c:numCache>
            </c:numRef>
          </c:xVal>
          <c:yVal>
            <c:numRef>
              <c:f>'Active 2'!$W$2:$W$25</c:f>
              <c:numCache>
                <c:formatCode>General</c:formatCode>
                <c:ptCount val="2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30-4FE0-8DCE-7E57BF317C51}"/>
            </c:ext>
          </c:extLst>
        </c:ser>
        <c:ser>
          <c:idx val="0"/>
          <c:order val="6"/>
          <c:tx>
            <c:strRef>
              <c:f>'Active 2'!$U$1</c:f>
              <c:strCache>
                <c:ptCount val="1"/>
                <c:pt idx="0">
                  <c:v>Linfit 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'Active 2'!$T$2:$T$13</c:f>
              <c:numCache>
                <c:formatCode>General</c:formatCode>
                <c:ptCount val="12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</c:numCache>
            </c:numRef>
          </c:xVal>
          <c:yVal>
            <c:numRef>
              <c:f>'Active 2'!$U$2:$U$13</c:f>
              <c:numCache>
                <c:formatCode>General</c:formatCode>
                <c:ptCount val="12"/>
                <c:pt idx="4">
                  <c:v>-3.6509612055548493E-2</c:v>
                </c:pt>
                <c:pt idx="5">
                  <c:v>-3.8682608796444744E-2</c:v>
                </c:pt>
                <c:pt idx="6">
                  <c:v>-4.0855605537341001E-2</c:v>
                </c:pt>
                <c:pt idx="7">
                  <c:v>-4.3028602278237252E-2</c:v>
                </c:pt>
                <c:pt idx="8">
                  <c:v>-4.5201599019133502E-2</c:v>
                </c:pt>
                <c:pt idx="9">
                  <c:v>-4.737459576002976E-2</c:v>
                </c:pt>
                <c:pt idx="10">
                  <c:v>-4.954759250092601E-2</c:v>
                </c:pt>
                <c:pt idx="11">
                  <c:v>-5.1720589241822261E-2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30-4FE0-8DCE-7E57BF317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3712"/>
        <c:axId val="1"/>
      </c:scatterChart>
      <c:valAx>
        <c:axId val="456973712"/>
        <c:scaling>
          <c:orientation val="minMax"/>
          <c:max val="21000"/>
          <c:min val="1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891490623597134"/>
              <c:y val="0.90839908370232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421972534332081E-3"/>
              <c:y val="0.394403104192128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37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106130460284226"/>
          <c:y val="0.92621105567910877"/>
          <c:w val="0.67915184759208469"/>
          <c:h val="5.3435114503816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69382859612961E-2"/>
          <c:y val="5.5555692559611153E-2"/>
          <c:w val="0.87905290427063709"/>
          <c:h val="0.7904059895981040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10">
                  <c:v>6.6499999957159162E-4</c:v>
                </c:pt>
                <c:pt idx="11">
                  <c:v>-7.6970000081928447E-3</c:v>
                </c:pt>
                <c:pt idx="30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17-4552-AF91-5244B298EF35}"/>
            </c:ext>
          </c:extLst>
        </c:ser>
        <c:ser>
          <c:idx val="3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36">
                  <c:v>-2.6719000001321547E-2</c:v>
                </c:pt>
                <c:pt idx="37">
                  <c:v>-2.6217500002530869E-2</c:v>
                </c:pt>
                <c:pt idx="46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17-4552-AF91-5244B298EF35}"/>
            </c:ext>
          </c:extLst>
        </c:ser>
        <c:ser>
          <c:idx val="4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0">
                  <c:v>3.7200000006123446E-3</c:v>
                </c:pt>
                <c:pt idx="1">
                  <c:v>0</c:v>
                </c:pt>
                <c:pt idx="2">
                  <c:v>-4.0520000038668513E-3</c:v>
                </c:pt>
                <c:pt idx="3">
                  <c:v>7.099999493220821E-5</c:v>
                </c:pt>
                <c:pt idx="4">
                  <c:v>-2.7595000065048225E-3</c:v>
                </c:pt>
                <c:pt idx="5">
                  <c:v>-2.9505000056815334E-3</c:v>
                </c:pt>
                <c:pt idx="6">
                  <c:v>-2.0325000004959293E-3</c:v>
                </c:pt>
                <c:pt idx="7">
                  <c:v>-6.3100000261329114E-4</c:v>
                </c:pt>
                <c:pt idx="8">
                  <c:v>-8.2200000179000199E-4</c:v>
                </c:pt>
                <c:pt idx="9">
                  <c:v>-2.0185000030323863E-3</c:v>
                </c:pt>
                <c:pt idx="12">
                  <c:v>-7.6320000007399358E-3</c:v>
                </c:pt>
                <c:pt idx="13">
                  <c:v>-1.1030500005290378E-2</c:v>
                </c:pt>
                <c:pt idx="14">
                  <c:v>-1.1514500001794659E-2</c:v>
                </c:pt>
                <c:pt idx="15">
                  <c:v>-9.8130000042147003E-3</c:v>
                </c:pt>
                <c:pt idx="16">
                  <c:v>-8.8290000057895668E-3</c:v>
                </c:pt>
                <c:pt idx="17">
                  <c:v>-1.4288999998825602E-2</c:v>
                </c:pt>
                <c:pt idx="18">
                  <c:v>-1.4694999998027924E-2</c:v>
                </c:pt>
                <c:pt idx="19">
                  <c:v>-1.4293500003986992E-2</c:v>
                </c:pt>
                <c:pt idx="20">
                  <c:v>-1.5568000009807292E-2</c:v>
                </c:pt>
                <c:pt idx="21">
                  <c:v>-1.4786500003538094E-2</c:v>
                </c:pt>
                <c:pt idx="22">
                  <c:v>-1.4708000002428889E-2</c:v>
                </c:pt>
                <c:pt idx="23">
                  <c:v>-1.3944999998784624E-2</c:v>
                </c:pt>
                <c:pt idx="24">
                  <c:v>-1.4492000002064742E-2</c:v>
                </c:pt>
                <c:pt idx="25">
                  <c:v>-1.4674000005470589E-2</c:v>
                </c:pt>
                <c:pt idx="26">
                  <c:v>-1.6952500001934823E-2</c:v>
                </c:pt>
                <c:pt idx="28">
                  <c:v>-2.2425000002840534E-2</c:v>
                </c:pt>
                <c:pt idx="39">
                  <c:v>-3.1312999795773067E-2</c:v>
                </c:pt>
                <c:pt idx="40">
                  <c:v>-3.0211500008590519E-2</c:v>
                </c:pt>
                <c:pt idx="41">
                  <c:v>-3.0236999999033287E-2</c:v>
                </c:pt>
                <c:pt idx="42">
                  <c:v>-3.1635500003176276E-2</c:v>
                </c:pt>
                <c:pt idx="43">
                  <c:v>-3.4828000003471971E-2</c:v>
                </c:pt>
                <c:pt idx="44">
                  <c:v>-3.5526500003470574E-2</c:v>
                </c:pt>
                <c:pt idx="45">
                  <c:v>-3.5625000004074536E-2</c:v>
                </c:pt>
                <c:pt idx="48">
                  <c:v>-4.4147500004328322E-2</c:v>
                </c:pt>
                <c:pt idx="49">
                  <c:v>-4.4147500004328322E-2</c:v>
                </c:pt>
                <c:pt idx="52">
                  <c:v>-4.9452000006567687E-2</c:v>
                </c:pt>
                <c:pt idx="53">
                  <c:v>-4.6443500206805766E-2</c:v>
                </c:pt>
                <c:pt idx="54">
                  <c:v>-5.2067000004171859E-2</c:v>
                </c:pt>
                <c:pt idx="55">
                  <c:v>-5.2790500005357899E-2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17-4552-AF91-5244B298EF35}"/>
            </c:ext>
          </c:extLst>
        </c:ser>
        <c:ser>
          <c:idx val="2"/>
          <c:order val="3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2.5000000000000001E-3</c:v>
                  </c:pt>
                  <c:pt idx="3">
                    <c:v>2.5000000000000001E-3</c:v>
                  </c:pt>
                  <c:pt idx="4">
                    <c:v>2.5999999999999999E-3</c:v>
                  </c:pt>
                  <c:pt idx="5">
                    <c:v>3.8E-3</c:v>
                  </c:pt>
                  <c:pt idx="6">
                    <c:v>2.0999999999999999E-3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2E-3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2.5000000000000001E-4</c:v>
                  </c:pt>
                  <c:pt idx="21">
                    <c:v>8.0000000000000004E-4</c:v>
                  </c:pt>
                  <c:pt idx="22">
                    <c:v>0</c:v>
                  </c:pt>
                  <c:pt idx="23">
                    <c:v>6.0000000000000002E-5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6.9999999999999994E-5</c:v>
                  </c:pt>
                  <c:pt idx="27">
                    <c:v>2E-3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2.5000000000000001E-3</c:v>
                  </c:pt>
                  <c:pt idx="37">
                    <c:v>1.8E-3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1.5E-3</c:v>
                  </c:pt>
                  <c:pt idx="43">
                    <c:v>1.9E-3</c:v>
                  </c:pt>
                  <c:pt idx="44">
                    <c:v>1.4E-3</c:v>
                  </c:pt>
                  <c:pt idx="45">
                    <c:v>3.2000000000000002E-3</c:v>
                  </c:pt>
                  <c:pt idx="46">
                    <c:v>4.0000000000000001E-3</c:v>
                  </c:pt>
                  <c:pt idx="47">
                    <c:v>2.9999999999999997E-4</c:v>
                  </c:pt>
                  <c:pt idx="48">
                    <c:v>5.0000000000000002E-5</c:v>
                  </c:pt>
                  <c:pt idx="49">
                    <c:v>5.0000000000000002E-5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-4460.5</c:v>
                </c:pt>
                <c:pt idx="1">
                  <c:v>-0.5</c:v>
                </c:pt>
                <c:pt idx="2">
                  <c:v>3615.5</c:v>
                </c:pt>
                <c:pt idx="3">
                  <c:v>3656.5</c:v>
                </c:pt>
                <c:pt idx="4">
                  <c:v>3713</c:v>
                </c:pt>
                <c:pt idx="5">
                  <c:v>3716</c:v>
                </c:pt>
                <c:pt idx="6">
                  <c:v>3722</c:v>
                </c:pt>
                <c:pt idx="7">
                  <c:v>3722.5</c:v>
                </c:pt>
                <c:pt idx="8">
                  <c:v>3725.5</c:v>
                </c:pt>
                <c:pt idx="9">
                  <c:v>3760</c:v>
                </c:pt>
                <c:pt idx="10">
                  <c:v>5054.5</c:v>
                </c:pt>
                <c:pt idx="11">
                  <c:v>6000.5</c:v>
                </c:pt>
                <c:pt idx="12">
                  <c:v>6855.5</c:v>
                </c:pt>
                <c:pt idx="13">
                  <c:v>6856</c:v>
                </c:pt>
                <c:pt idx="14">
                  <c:v>6928</c:v>
                </c:pt>
                <c:pt idx="15">
                  <c:v>6928.5</c:v>
                </c:pt>
                <c:pt idx="16">
                  <c:v>7056.5</c:v>
                </c:pt>
                <c:pt idx="17">
                  <c:v>7836.5</c:v>
                </c:pt>
                <c:pt idx="18">
                  <c:v>8134.5</c:v>
                </c:pt>
                <c:pt idx="19">
                  <c:v>8135</c:v>
                </c:pt>
                <c:pt idx="20">
                  <c:v>8203.5</c:v>
                </c:pt>
                <c:pt idx="21">
                  <c:v>8204</c:v>
                </c:pt>
                <c:pt idx="22">
                  <c:v>8263.5</c:v>
                </c:pt>
                <c:pt idx="23">
                  <c:v>8294.5</c:v>
                </c:pt>
                <c:pt idx="24">
                  <c:v>8335.5</c:v>
                </c:pt>
                <c:pt idx="25">
                  <c:v>8341.5</c:v>
                </c:pt>
                <c:pt idx="26">
                  <c:v>8342</c:v>
                </c:pt>
                <c:pt idx="27">
                  <c:v>10273.5</c:v>
                </c:pt>
                <c:pt idx="28">
                  <c:v>10624.5</c:v>
                </c:pt>
                <c:pt idx="29">
                  <c:v>11364</c:v>
                </c:pt>
                <c:pt idx="30">
                  <c:v>11369</c:v>
                </c:pt>
                <c:pt idx="31">
                  <c:v>11401.5</c:v>
                </c:pt>
                <c:pt idx="32">
                  <c:v>11430</c:v>
                </c:pt>
                <c:pt idx="33">
                  <c:v>11508.5</c:v>
                </c:pt>
                <c:pt idx="34">
                  <c:v>11567.5</c:v>
                </c:pt>
                <c:pt idx="35">
                  <c:v>11568</c:v>
                </c:pt>
                <c:pt idx="36">
                  <c:v>11726.5</c:v>
                </c:pt>
                <c:pt idx="37">
                  <c:v>11727</c:v>
                </c:pt>
                <c:pt idx="38">
                  <c:v>12664.5</c:v>
                </c:pt>
                <c:pt idx="39">
                  <c:v>12728.5</c:v>
                </c:pt>
                <c:pt idx="40">
                  <c:v>12729</c:v>
                </c:pt>
                <c:pt idx="41">
                  <c:v>12820.5</c:v>
                </c:pt>
                <c:pt idx="42">
                  <c:v>12821</c:v>
                </c:pt>
                <c:pt idx="43">
                  <c:v>13923.5</c:v>
                </c:pt>
                <c:pt idx="44">
                  <c:v>13924</c:v>
                </c:pt>
                <c:pt idx="45">
                  <c:v>13924.5</c:v>
                </c:pt>
                <c:pt idx="46">
                  <c:v>15271.5</c:v>
                </c:pt>
                <c:pt idx="47">
                  <c:v>16341</c:v>
                </c:pt>
                <c:pt idx="48">
                  <c:v>17227</c:v>
                </c:pt>
                <c:pt idx="49">
                  <c:v>17227</c:v>
                </c:pt>
                <c:pt idx="50">
                  <c:v>19578.5</c:v>
                </c:pt>
                <c:pt idx="51">
                  <c:v>19585</c:v>
                </c:pt>
                <c:pt idx="52">
                  <c:v>19715.5</c:v>
                </c:pt>
                <c:pt idx="53">
                  <c:v>19885</c:v>
                </c:pt>
                <c:pt idx="54">
                  <c:v>20810.5</c:v>
                </c:pt>
                <c:pt idx="55">
                  <c:v>20936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  <c:pt idx="27">
                  <c:v>-2.1478000002389308E-2</c:v>
                </c:pt>
                <c:pt idx="29">
                  <c:v>-2.5506500001938548E-2</c:v>
                </c:pt>
                <c:pt idx="31">
                  <c:v>-2.5594000006094575E-2</c:v>
                </c:pt>
                <c:pt idx="32">
                  <c:v>-2.5908500007062685E-2</c:v>
                </c:pt>
                <c:pt idx="33">
                  <c:v>-2.627300000312971E-2</c:v>
                </c:pt>
                <c:pt idx="34">
                  <c:v>-2.5896000006468967E-2</c:v>
                </c:pt>
                <c:pt idx="35">
                  <c:v>-2.5994499999796972E-2</c:v>
                </c:pt>
                <c:pt idx="38">
                  <c:v>-3.0405000004975591E-2</c:v>
                </c:pt>
                <c:pt idx="47">
                  <c:v>-4.1775500001676846E-2</c:v>
                </c:pt>
                <c:pt idx="50">
                  <c:v>-4.8361900000600144E-2</c:v>
                </c:pt>
                <c:pt idx="51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17-4552-AF91-5244B298EF35}"/>
            </c:ext>
          </c:extLst>
        </c:ser>
        <c:ser>
          <c:idx val="7"/>
          <c:order val="4"/>
          <c:tx>
            <c:strRef>
              <c:f>'Active 2'!$S$1</c:f>
              <c:strCache>
                <c:ptCount val="1"/>
                <c:pt idx="0">
                  <c:v>Linfit 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'Active 2'!$R$2:$R$12</c:f>
              <c:numCache>
                <c:formatCode>General</c:formatCode>
                <c:ptCount val="11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</c:numCache>
            </c:numRef>
          </c:xVal>
          <c:yVal>
            <c:numRef>
              <c:f>'Active 2'!$S$2:$S$12</c:f>
              <c:numCache>
                <c:formatCode>General</c:formatCode>
                <c:ptCount val="11"/>
                <c:pt idx="0">
                  <c:v>-2.030533947074736E-2</c:v>
                </c:pt>
                <c:pt idx="1">
                  <c:v>-2.4098012789556828E-2</c:v>
                </c:pt>
                <c:pt idx="2">
                  <c:v>-2.7890686108366303E-2</c:v>
                </c:pt>
                <c:pt idx="3">
                  <c:v>-3.1683359427175775E-2</c:v>
                </c:pt>
                <c:pt idx="4">
                  <c:v>-3.5476032745985236E-2</c:v>
                </c:pt>
                <c:pt idx="5">
                  <c:v>-3.9268706064794712E-2</c:v>
                </c:pt>
                <c:pt idx="6">
                  <c:v>-4.3061379383604187E-2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17-4552-AF91-5244B298EF35}"/>
            </c:ext>
          </c:extLst>
        </c:ser>
        <c:ser>
          <c:idx val="0"/>
          <c:order val="5"/>
          <c:tx>
            <c:strRef>
              <c:f>'Active 2'!$U$1</c:f>
              <c:strCache>
                <c:ptCount val="1"/>
                <c:pt idx="0">
                  <c:v>Linfit 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'Active 2'!$T$2:$T$13</c:f>
              <c:numCache>
                <c:formatCode>General</c:formatCode>
                <c:ptCount val="12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</c:numCache>
            </c:numRef>
          </c:xVal>
          <c:yVal>
            <c:numRef>
              <c:f>'Active 2'!$U$2:$U$13</c:f>
              <c:numCache>
                <c:formatCode>General</c:formatCode>
                <c:ptCount val="12"/>
                <c:pt idx="4">
                  <c:v>-3.6509612055548493E-2</c:v>
                </c:pt>
                <c:pt idx="5">
                  <c:v>-3.8682608796444744E-2</c:v>
                </c:pt>
                <c:pt idx="6">
                  <c:v>-4.0855605537341001E-2</c:v>
                </c:pt>
                <c:pt idx="7">
                  <c:v>-4.3028602278237252E-2</c:v>
                </c:pt>
                <c:pt idx="8">
                  <c:v>-4.5201599019133502E-2</c:v>
                </c:pt>
                <c:pt idx="9">
                  <c:v>-4.737459576002976E-2</c:v>
                </c:pt>
                <c:pt idx="10">
                  <c:v>-4.954759250092601E-2</c:v>
                </c:pt>
                <c:pt idx="11">
                  <c:v>-5.1720589241822261E-2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17-4552-AF91-5244B298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7320"/>
        <c:axId val="1"/>
      </c:scatterChart>
      <c:valAx>
        <c:axId val="456977320"/>
        <c:scaling>
          <c:orientation val="minMax"/>
          <c:max val="20000"/>
          <c:min val="1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783094756546952"/>
              <c:y val="0.906567777512659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344139650872821E-3"/>
              <c:y val="0.3585866539409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73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74826058214043"/>
          <c:y val="0.92677006283305496"/>
          <c:w val="0.5822946570581421"/>
          <c:h val="5.30303030303029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381000</xdr:colOff>
      <xdr:row>0</xdr:row>
      <xdr:rowOff>85725</xdr:rowOff>
    </xdr:from>
    <xdr:to>
      <xdr:col>33</xdr:col>
      <xdr:colOff>552450</xdr:colOff>
      <xdr:row>19</xdr:row>
      <xdr:rowOff>95250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7E620F26-D8F7-8727-729E-A1F509796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342900</xdr:colOff>
      <xdr:row>33</xdr:row>
      <xdr:rowOff>152400</xdr:rowOff>
    </xdr:from>
    <xdr:to>
      <xdr:col>35</xdr:col>
      <xdr:colOff>523875</xdr:colOff>
      <xdr:row>54</xdr:row>
      <xdr:rowOff>28575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17E4B35E-225F-680D-CC8F-591AC1B0F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</xdr:colOff>
      <xdr:row>35</xdr:row>
      <xdr:rowOff>28575</xdr:rowOff>
    </xdr:from>
    <xdr:to>
      <xdr:col>24</xdr:col>
      <xdr:colOff>657225</xdr:colOff>
      <xdr:row>58</xdr:row>
      <xdr:rowOff>0</xdr:rowOff>
    </xdr:to>
    <xdr:graphicFrame macro="">
      <xdr:nvGraphicFramePr>
        <xdr:cNvPr id="1033" name="Chart 4">
          <a:extLst>
            <a:ext uri="{FF2B5EF4-FFF2-40B4-BE49-F238E27FC236}">
              <a16:creationId xmlns:a16="http://schemas.microsoft.com/office/drawing/2014/main" id="{99D2773B-36D2-0635-4058-441A979C6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66675</xdr:colOff>
      <xdr:row>0</xdr:row>
      <xdr:rowOff>0</xdr:rowOff>
    </xdr:from>
    <xdr:to>
      <xdr:col>45</xdr:col>
      <xdr:colOff>152400</xdr:colOff>
      <xdr:row>21</xdr:row>
      <xdr:rowOff>85725</xdr:rowOff>
    </xdr:to>
    <xdr:graphicFrame macro="">
      <xdr:nvGraphicFramePr>
        <xdr:cNvPr id="1034" name="Chart 5">
          <a:extLst>
            <a:ext uri="{FF2B5EF4-FFF2-40B4-BE49-F238E27FC236}">
              <a16:creationId xmlns:a16="http://schemas.microsoft.com/office/drawing/2014/main" id="{96C08573-E869-5371-9F4F-F522F70A1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171450</xdr:colOff>
      <xdr:row>0</xdr:row>
      <xdr:rowOff>95250</xdr:rowOff>
    </xdr:from>
    <xdr:to>
      <xdr:col>24</xdr:col>
      <xdr:colOff>304800</xdr:colOff>
      <xdr:row>17</xdr:row>
      <xdr:rowOff>161924</xdr:rowOff>
    </xdr:to>
    <xdr:graphicFrame macro="">
      <xdr:nvGraphicFramePr>
        <xdr:cNvPr id="1035" name="Chart 6">
          <a:extLst>
            <a:ext uri="{FF2B5EF4-FFF2-40B4-BE49-F238E27FC236}">
              <a16:creationId xmlns:a16="http://schemas.microsoft.com/office/drawing/2014/main" id="{8F70D09C-3D29-4F3C-0EAC-3AD242686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1</xdr:row>
      <xdr:rowOff>38100</xdr:rowOff>
    </xdr:from>
    <xdr:to>
      <xdr:col>36</xdr:col>
      <xdr:colOff>552450</xdr:colOff>
      <xdr:row>20</xdr:row>
      <xdr:rowOff>123825</xdr:rowOff>
    </xdr:to>
    <xdr:graphicFrame macro="">
      <xdr:nvGraphicFramePr>
        <xdr:cNvPr id="50182" name="Chart 1025">
          <a:extLst>
            <a:ext uri="{FF2B5EF4-FFF2-40B4-BE49-F238E27FC236}">
              <a16:creationId xmlns:a16="http://schemas.microsoft.com/office/drawing/2014/main" id="{92C2E71B-2BA2-0B51-8602-4B415E7F0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342900</xdr:colOff>
      <xdr:row>33</xdr:row>
      <xdr:rowOff>152400</xdr:rowOff>
    </xdr:from>
    <xdr:to>
      <xdr:col>35</xdr:col>
      <xdr:colOff>523875</xdr:colOff>
      <xdr:row>54</xdr:row>
      <xdr:rowOff>28575</xdr:rowOff>
    </xdr:to>
    <xdr:graphicFrame macro="">
      <xdr:nvGraphicFramePr>
        <xdr:cNvPr id="50183" name="Chart 1026">
          <a:extLst>
            <a:ext uri="{FF2B5EF4-FFF2-40B4-BE49-F238E27FC236}">
              <a16:creationId xmlns:a16="http://schemas.microsoft.com/office/drawing/2014/main" id="{9CF97759-094C-4C38-CF1C-928C6A22C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0</xdr:row>
      <xdr:rowOff>85724</xdr:rowOff>
    </xdr:from>
    <xdr:to>
      <xdr:col>21</xdr:col>
      <xdr:colOff>314325</xdr:colOff>
      <xdr:row>17</xdr:row>
      <xdr:rowOff>114299</xdr:rowOff>
    </xdr:to>
    <xdr:graphicFrame macro="">
      <xdr:nvGraphicFramePr>
        <xdr:cNvPr id="50184" name="Chart 1027">
          <a:extLst>
            <a:ext uri="{FF2B5EF4-FFF2-40B4-BE49-F238E27FC236}">
              <a16:creationId xmlns:a16="http://schemas.microsoft.com/office/drawing/2014/main" id="{B391B229-6778-89F5-5B40-72C1C1FE0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600075</xdr:colOff>
      <xdr:row>21</xdr:row>
      <xdr:rowOff>95250</xdr:rowOff>
    </xdr:from>
    <xdr:to>
      <xdr:col>30</xdr:col>
      <xdr:colOff>0</xdr:colOff>
      <xdr:row>44</xdr:row>
      <xdr:rowOff>114300</xdr:rowOff>
    </xdr:to>
    <xdr:graphicFrame macro="">
      <xdr:nvGraphicFramePr>
        <xdr:cNvPr id="50185" name="Chart 1028">
          <a:extLst>
            <a:ext uri="{FF2B5EF4-FFF2-40B4-BE49-F238E27FC236}">
              <a16:creationId xmlns:a16="http://schemas.microsoft.com/office/drawing/2014/main" id="{59B5853C-E9C7-5A0C-00AE-BBC355755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409574</xdr:colOff>
      <xdr:row>0</xdr:row>
      <xdr:rowOff>123825</xdr:rowOff>
    </xdr:from>
    <xdr:to>
      <xdr:col>32</xdr:col>
      <xdr:colOff>438149</xdr:colOff>
      <xdr:row>17</xdr:row>
      <xdr:rowOff>114300</xdr:rowOff>
    </xdr:to>
    <xdr:graphicFrame macro="">
      <xdr:nvGraphicFramePr>
        <xdr:cNvPr id="50186" name="Chart 1029">
          <a:extLst>
            <a:ext uri="{FF2B5EF4-FFF2-40B4-BE49-F238E27FC236}">
              <a16:creationId xmlns:a16="http://schemas.microsoft.com/office/drawing/2014/main" id="{65ED1650-63C5-F50C-C3A0-8D1212806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39" TargetMode="External"/><Relationship Id="rId13" Type="http://schemas.openxmlformats.org/officeDocument/2006/relationships/hyperlink" Target="http://var.astro.cz/oejv/issues/oejv0162.pdf" TargetMode="External"/><Relationship Id="rId18" Type="http://schemas.openxmlformats.org/officeDocument/2006/relationships/hyperlink" Target="http://www.konkoly.hu/cgi-bin/IBVS?6092" TargetMode="External"/><Relationship Id="rId3" Type="http://schemas.openxmlformats.org/officeDocument/2006/relationships/hyperlink" Target="http://www.konkoly.hu/cgi-bin/IBVS?6006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6039" TargetMode="External"/><Relationship Id="rId12" Type="http://schemas.openxmlformats.org/officeDocument/2006/relationships/hyperlink" Target="http://www.konkoly.hu/cgi-bin/IBVS?6092" TargetMode="External"/><Relationship Id="rId17" Type="http://schemas.openxmlformats.org/officeDocument/2006/relationships/hyperlink" Target="http://www.konkoly.hu/cgi-bin/IBVS?6092" TargetMode="External"/><Relationship Id="rId2" Type="http://schemas.openxmlformats.org/officeDocument/2006/relationships/hyperlink" Target="http://www.konkoly.hu/cgi-bin/IBVS?6006" TargetMode="External"/><Relationship Id="rId16" Type="http://schemas.openxmlformats.org/officeDocument/2006/relationships/hyperlink" Target="http://www.konkoly.hu/cgi-bin/IBVS?6092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39" TargetMode="External"/><Relationship Id="rId11" Type="http://schemas.openxmlformats.org/officeDocument/2006/relationships/hyperlink" Target="http://www.konkoly.hu/cgi-bin/IBVS?6042" TargetMode="External"/><Relationship Id="rId24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6039" TargetMode="External"/><Relationship Id="rId15" Type="http://schemas.openxmlformats.org/officeDocument/2006/relationships/hyperlink" Target="http://www.konkoly.hu/cgi-bin/IBVS?6092" TargetMode="External"/><Relationship Id="rId23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6050" TargetMode="External"/><Relationship Id="rId19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6039" TargetMode="External"/><Relationship Id="rId9" Type="http://schemas.openxmlformats.org/officeDocument/2006/relationships/hyperlink" Target="http://www.konkoly.hu/cgi-bin/IBVS?6039" TargetMode="External"/><Relationship Id="rId14" Type="http://schemas.openxmlformats.org/officeDocument/2006/relationships/hyperlink" Target="http://www.konkoly.hu/cgi-bin/IBVS?6092" TargetMode="External"/><Relationship Id="rId22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922"/>
  <sheetViews>
    <sheetView tabSelected="1" workbookViewId="0">
      <pane xSplit="13" ySplit="21" topLeftCell="N61" activePane="bottomRight" state="frozen"/>
      <selection pane="topRight" activeCell="N1" sqref="N1"/>
      <selection pane="bottomLeft" activeCell="A22" sqref="A22"/>
      <selection pane="bottomRight" activeCell="C18" sqref="C18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13" customWidth="1"/>
    <col min="5" max="5" width="10.85546875" customWidth="1"/>
    <col min="6" max="6" width="17.7109375" customWidth="1"/>
    <col min="7" max="7" width="11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53</v>
      </c>
      <c r="G1" s="53" t="s">
        <v>56</v>
      </c>
      <c r="R1" s="4" t="s">
        <v>12</v>
      </c>
      <c r="S1" s="4" t="s">
        <v>269</v>
      </c>
      <c r="T1" s="4" t="s">
        <v>12</v>
      </c>
      <c r="U1" s="4" t="s">
        <v>270</v>
      </c>
      <c r="V1" s="4" t="s">
        <v>12</v>
      </c>
      <c r="W1" s="6" t="s">
        <v>23</v>
      </c>
    </row>
    <row r="2" spans="1:23" x14ac:dyDescent="0.2">
      <c r="A2" t="s">
        <v>25</v>
      </c>
      <c r="B2" s="3" t="s">
        <v>34</v>
      </c>
      <c r="C2" s="3"/>
      <c r="D2" s="3" t="s">
        <v>33</v>
      </c>
      <c r="G2" t="s">
        <v>64</v>
      </c>
      <c r="R2">
        <v>10000</v>
      </c>
      <c r="S2">
        <f t="shared" ref="S2:S8" ca="1" si="0">C$11+C$12*R2</f>
        <v>-2.030533947074736E-2</v>
      </c>
      <c r="T2">
        <v>10000</v>
      </c>
      <c r="V2" s="29">
        <v>-5000</v>
      </c>
      <c r="W2" s="29">
        <f t="shared" ref="W2:W26" si="1">+D$11+D$12*V2+D$13*V2^2</f>
        <v>1.115560172742263E-2</v>
      </c>
    </row>
    <row r="3" spans="1:23" ht="13.5" thickBot="1" x14ac:dyDescent="0.25">
      <c r="G3" s="4" t="s">
        <v>57</v>
      </c>
      <c r="H3" s="4" t="s">
        <v>58</v>
      </c>
      <c r="I3" s="4" t="s">
        <v>59</v>
      </c>
      <c r="J3" s="4" t="s">
        <v>60</v>
      </c>
      <c r="K3" s="4" t="s">
        <v>61</v>
      </c>
      <c r="L3" s="54" t="s">
        <v>62</v>
      </c>
      <c r="M3" s="4" t="s">
        <v>63</v>
      </c>
      <c r="R3">
        <v>11000</v>
      </c>
      <c r="S3">
        <f t="shared" ca="1" si="0"/>
        <v>-2.4098012789556828E-2</v>
      </c>
      <c r="T3">
        <v>11000</v>
      </c>
      <c r="V3" s="29">
        <v>-4000</v>
      </c>
      <c r="W3" s="29">
        <f t="shared" si="1"/>
        <v>9.7207907479228677E-3</v>
      </c>
    </row>
    <row r="4" spans="1:23" ht="14.25" thickTop="1" thickBot="1" x14ac:dyDescent="0.25">
      <c r="A4" s="5" t="s">
        <v>3</v>
      </c>
      <c r="C4" s="8">
        <v>52898.811500000003</v>
      </c>
      <c r="D4" s="9">
        <v>0.31819700000000001</v>
      </c>
      <c r="E4" s="24" t="s">
        <v>225</v>
      </c>
      <c r="G4">
        <v>2011</v>
      </c>
      <c r="H4" s="3">
        <v>9</v>
      </c>
      <c r="I4" s="3">
        <v>12</v>
      </c>
      <c r="J4" s="51">
        <f>DATE(G4,H4,I4)+15018.5-J$8/24+J$12/24</f>
        <v>55816.5</v>
      </c>
      <c r="K4">
        <f>INT((J4-C$7)/C$8)</f>
        <v>9168</v>
      </c>
      <c r="L4">
        <f>+C$7+C$8*K4+D$11+D$12*K4+D$13*K4^2</f>
        <v>55816.182723813887</v>
      </c>
      <c r="M4">
        <f>+C$8+D$12+2*D$13*K4</f>
        <v>0.31819427609401879</v>
      </c>
      <c r="R4">
        <v>12000</v>
      </c>
      <c r="S4">
        <f t="shared" ca="1" si="0"/>
        <v>-2.7890686108366303E-2</v>
      </c>
      <c r="T4">
        <v>12000</v>
      </c>
      <c r="V4" s="29">
        <v>-3000</v>
      </c>
      <c r="W4" s="29">
        <f t="shared" si="1"/>
        <v>8.1916649453507573E-3</v>
      </c>
    </row>
    <row r="5" spans="1:23" ht="13.5" thickTop="1" x14ac:dyDescent="0.2">
      <c r="A5" s="11" t="s">
        <v>27</v>
      </c>
      <c r="B5" s="85"/>
      <c r="C5" s="13">
        <v>-9.5</v>
      </c>
      <c r="D5" s="12" t="s">
        <v>28</v>
      </c>
      <c r="G5">
        <v>2013</v>
      </c>
      <c r="H5" s="3">
        <v>9</v>
      </c>
      <c r="I5" s="3">
        <v>8</v>
      </c>
      <c r="J5" s="51">
        <f>DATE(G5,H5,I5)+15018.5-J$8/24+J$12/24</f>
        <v>56543.5</v>
      </c>
      <c r="K5">
        <f>INT((J5-C$7)/C$8)</f>
        <v>11453</v>
      </c>
      <c r="L5">
        <f>+C$7+C$8*K5+D$11+D$12*K5+D$13*K5^2</f>
        <v>56543.256398469261</v>
      </c>
      <c r="M5">
        <f>+C$8+D$12+2*D$13*K5</f>
        <v>0.31819406058464805</v>
      </c>
      <c r="R5">
        <v>13000</v>
      </c>
      <c r="S5">
        <f t="shared" ca="1" si="0"/>
        <v>-3.1683359427175775E-2</v>
      </c>
      <c r="T5">
        <v>13000</v>
      </c>
      <c r="V5" s="29">
        <v>-2000</v>
      </c>
      <c r="W5" s="29">
        <f t="shared" si="1"/>
        <v>6.5682243197062954E-3</v>
      </c>
    </row>
    <row r="6" spans="1:23" x14ac:dyDescent="0.2">
      <c r="A6" s="5" t="s">
        <v>4</v>
      </c>
      <c r="G6">
        <v>2014</v>
      </c>
      <c r="H6" s="3">
        <v>9</v>
      </c>
      <c r="I6" s="3">
        <v>10</v>
      </c>
      <c r="J6" s="51">
        <f>DATE(G6,H6,I6)+15018.5-J$8/24+J$12/24</f>
        <v>56910.5</v>
      </c>
      <c r="K6">
        <f>INT((J6-C$7)/C$8)</f>
        <v>12607</v>
      </c>
      <c r="L6">
        <f>+C$7+C$8*K6+D$11+D$12*K6+D$13*K6^2</f>
        <v>56910.452281583668</v>
      </c>
      <c r="M6">
        <f>+C$8+D$12+2*D$13*K6</f>
        <v>0.31819395174534221</v>
      </c>
      <c r="R6">
        <v>14000</v>
      </c>
      <c r="S6">
        <f t="shared" ca="1" si="0"/>
        <v>-3.5476032745985236E-2</v>
      </c>
      <c r="T6">
        <v>14000</v>
      </c>
      <c r="U6">
        <f t="shared" ref="U6:U12" si="2">H$11+H$12*T6</f>
        <v>-3.6509612055548493E-2</v>
      </c>
      <c r="V6" s="29">
        <v>-1000</v>
      </c>
      <c r="W6" s="29">
        <f t="shared" si="1"/>
        <v>4.8504688709894847E-3</v>
      </c>
    </row>
    <row r="7" spans="1:23" x14ac:dyDescent="0.2">
      <c r="A7" t="s">
        <v>5</v>
      </c>
      <c r="C7">
        <f>D7+C8/2</f>
        <v>52898.970598500004</v>
      </c>
      <c r="D7">
        <v>52898.811500000003</v>
      </c>
      <c r="E7">
        <v>52898.970600000001</v>
      </c>
      <c r="G7">
        <v>2015</v>
      </c>
      <c r="H7" s="3">
        <v>10</v>
      </c>
      <c r="I7" s="3">
        <v>1</v>
      </c>
      <c r="J7" s="51">
        <f>DATE(G7,H7,I7)+15018.5-J$8/24+J$12/24</f>
        <v>57296.5</v>
      </c>
      <c r="K7">
        <f>INT((J7-C$7)/C$8)</f>
        <v>13820</v>
      </c>
      <c r="L7">
        <f>+C$7+C$8*K7+D$11+D$12*K7+D$13*K7^2</f>
        <v>57296.421475664807</v>
      </c>
      <c r="M7">
        <f>+C$8+D$12+2*D$13*K7</f>
        <v>0.31819383734146184</v>
      </c>
      <c r="R7">
        <v>15000</v>
      </c>
      <c r="S7">
        <f t="shared" ca="1" si="0"/>
        <v>-3.9268706064794712E-2</v>
      </c>
      <c r="T7">
        <v>15000</v>
      </c>
      <c r="U7">
        <f t="shared" si="2"/>
        <v>-3.8682608796444744E-2</v>
      </c>
      <c r="V7" s="29">
        <v>0</v>
      </c>
      <c r="W7" s="29">
        <f t="shared" si="1"/>
        <v>3.038398599200326E-3</v>
      </c>
    </row>
    <row r="8" spans="1:23" ht="13.5" thickBot="1" x14ac:dyDescent="0.25">
      <c r="A8" t="s">
        <v>6</v>
      </c>
      <c r="C8">
        <v>0.31819700000000001</v>
      </c>
      <c r="D8" s="24"/>
      <c r="R8">
        <v>16000</v>
      </c>
      <c r="S8">
        <f t="shared" ca="1" si="0"/>
        <v>-4.3061379383604187E-2</v>
      </c>
      <c r="T8">
        <v>16000</v>
      </c>
      <c r="U8">
        <f t="shared" si="2"/>
        <v>-4.0855605537341001E-2</v>
      </c>
      <c r="V8" s="29">
        <v>1000</v>
      </c>
      <c r="W8" s="29">
        <f t="shared" si="1"/>
        <v>1.1320135043388173E-3</v>
      </c>
    </row>
    <row r="9" spans="1:23" x14ac:dyDescent="0.2">
      <c r="A9" s="22" t="s">
        <v>32</v>
      </c>
      <c r="B9" s="23">
        <v>48</v>
      </c>
      <c r="C9" s="20" t="str">
        <f>"F"&amp;B9</f>
        <v>F48</v>
      </c>
      <c r="D9" s="21" t="str">
        <f>"G"&amp;B9</f>
        <v>G48</v>
      </c>
      <c r="F9" s="115" t="s">
        <v>275</v>
      </c>
      <c r="G9" s="56" t="s">
        <v>274</v>
      </c>
      <c r="H9" s="116" t="s">
        <v>276</v>
      </c>
      <c r="T9">
        <v>17000</v>
      </c>
      <c r="U9">
        <f t="shared" si="2"/>
        <v>-4.3028602278237252E-2</v>
      </c>
      <c r="V9" s="29">
        <v>2000</v>
      </c>
      <c r="W9" s="29">
        <f t="shared" si="1"/>
        <v>-8.6868641359504051E-4</v>
      </c>
    </row>
    <row r="10" spans="1:23" ht="13.5" thickBot="1" x14ac:dyDescent="0.25">
      <c r="A10" s="12"/>
      <c r="B10" s="85"/>
      <c r="C10" s="4" t="s">
        <v>21</v>
      </c>
      <c r="D10" s="4" t="s">
        <v>22</v>
      </c>
      <c r="E10" s="12"/>
      <c r="G10" s="61" t="s">
        <v>269</v>
      </c>
      <c r="H10" s="117" t="s">
        <v>270</v>
      </c>
      <c r="I10" s="3" t="s">
        <v>281</v>
      </c>
      <c r="T10">
        <v>18000</v>
      </c>
      <c r="U10">
        <f t="shared" si="2"/>
        <v>-4.5201599019133502E-2</v>
      </c>
      <c r="V10" s="29">
        <v>3000</v>
      </c>
      <c r="W10" s="29">
        <f t="shared" si="1"/>
        <v>-2.9637011546012472E-3</v>
      </c>
    </row>
    <row r="11" spans="1:23" x14ac:dyDescent="0.2">
      <c r="A11" s="12" t="s">
        <v>17</v>
      </c>
      <c r="B11" s="85"/>
      <c r="C11" s="19">
        <f ca="1">INTERCEPT(INDIRECT($D$9):INDIRECT($D$14),INDIRECT($C$9):INDIRECT($C$14))</f>
        <v>1.7621393717347351E-2</v>
      </c>
      <c r="D11" s="3">
        <f>+E11*F11</f>
        <v>3.038398599200326E-3</v>
      </c>
      <c r="E11" s="30">
        <v>3.038398599200326E-3</v>
      </c>
      <c r="F11">
        <v>1</v>
      </c>
      <c r="G11" s="118">
        <v>1.7621393717347052E-2</v>
      </c>
      <c r="H11" s="119">
        <v>-6.0876576830009577E-3</v>
      </c>
      <c r="I11" s="21">
        <f>INTERCEPT(G64:G82,F64:F82)</f>
        <v>-3.9339588158921537E-3</v>
      </c>
      <c r="T11">
        <v>19000</v>
      </c>
      <c r="U11">
        <f t="shared" si="2"/>
        <v>-4.737459576002976E-2</v>
      </c>
      <c r="V11" s="29">
        <v>4000</v>
      </c>
      <c r="W11" s="29">
        <f t="shared" si="1"/>
        <v>-5.1530307186798043E-3</v>
      </c>
    </row>
    <row r="12" spans="1:23" ht="13.5" thickBot="1" x14ac:dyDescent="0.25">
      <c r="A12" s="12" t="s">
        <v>18</v>
      </c>
      <c r="B12" s="85"/>
      <c r="C12" s="19">
        <f ca="1">SLOPE(INDIRECT($D$9):INDIRECT($D$14),INDIRECT($C$9):INDIRECT($C$14))</f>
        <v>-3.792673318809471E-6</v>
      </c>
      <c r="D12" s="3">
        <f>+E12*F12</f>
        <v>-1.859227683325334E-6</v>
      </c>
      <c r="E12" s="31">
        <v>-1.8592276833253339E-2</v>
      </c>
      <c r="F12" s="32">
        <v>1E-4</v>
      </c>
      <c r="G12" s="120">
        <v>-3.7926733188094464E-6</v>
      </c>
      <c r="H12" s="121">
        <v>-2.1729967408962526E-6</v>
      </c>
      <c r="I12" s="21">
        <f>SLOPE(G64:G82,F64:F82)</f>
        <v>-2.2918906395510505E-6</v>
      </c>
      <c r="T12">
        <v>20000</v>
      </c>
      <c r="U12">
        <f t="shared" si="2"/>
        <v>-4.954759250092601E-2</v>
      </c>
      <c r="V12" s="29">
        <v>5000</v>
      </c>
      <c r="W12" s="29">
        <f t="shared" si="1"/>
        <v>-7.436675105830709E-3</v>
      </c>
    </row>
    <row r="13" spans="1:23" ht="13.5" thickBot="1" x14ac:dyDescent="0.25">
      <c r="A13" s="12" t="s">
        <v>20</v>
      </c>
      <c r="B13" s="85"/>
      <c r="C13" s="3" t="s">
        <v>15</v>
      </c>
      <c r="D13" s="3">
        <f>+E13*F13</f>
        <v>-4.7157411536174622E-11</v>
      </c>
      <c r="E13" s="33">
        <v>-4.7157411536174624E-3</v>
      </c>
      <c r="F13" s="32">
        <v>1E-8</v>
      </c>
      <c r="T13">
        <v>21000</v>
      </c>
      <c r="U13">
        <f>H$11+H$12*T13</f>
        <v>-5.1720589241822261E-2</v>
      </c>
      <c r="V13" s="29">
        <v>6000</v>
      </c>
      <c r="W13" s="29">
        <f t="shared" si="1"/>
        <v>-9.8146343160539634E-3</v>
      </c>
    </row>
    <row r="14" spans="1:23" ht="13.5" thickBot="1" x14ac:dyDescent="0.25">
      <c r="A14" s="16" t="s">
        <v>268</v>
      </c>
      <c r="B14" s="114">
        <v>67</v>
      </c>
      <c r="C14" s="20" t="str">
        <f>"F"&amp;B14</f>
        <v>F67</v>
      </c>
      <c r="D14" s="21" t="str">
        <f>"G"&amp;B14</f>
        <v>G67</v>
      </c>
      <c r="E14">
        <f>SUM(T21:T943)</f>
        <v>2.3950769873582503E-4</v>
      </c>
      <c r="V14" s="29">
        <v>7000</v>
      </c>
      <c r="W14" s="29">
        <f t="shared" si="1"/>
        <v>-1.2286908349349569E-2</v>
      </c>
    </row>
    <row r="15" spans="1:23" x14ac:dyDescent="0.2">
      <c r="A15" s="14" t="s">
        <v>19</v>
      </c>
      <c r="B15" s="85"/>
      <c r="C15" s="15">
        <f ca="1">($C7+C11)+($C8+C12)*INT(MAX($E21:$E3504))</f>
        <v>59560.363015277791</v>
      </c>
      <c r="D15" s="21">
        <f>+C7+INT(MAX(F21:F1581))*C8+D11+D12*INT(MAX(F21:F4016))+D13*INT(MAX(F21:F4043)^2)</f>
        <v>59560.686434255302</v>
      </c>
      <c r="E15" s="135" t="s">
        <v>35</v>
      </c>
      <c r="F15" s="136">
        <v>1</v>
      </c>
      <c r="G15" s="15">
        <f>($C7+G11)+($C8+G12)*INT(MAX($E21:$E3504))</f>
        <v>59560.363015277791</v>
      </c>
      <c r="H15" s="15">
        <f>($C7+H11)+($C8+H12)*INT(MAX($E21:$E3504))</f>
        <v>59560.373214155552</v>
      </c>
      <c r="I15" s="15">
        <f>($C7+I11)+($C8+I12)*INT(MAX($E21:$E3504))</f>
        <v>59560.372878810645</v>
      </c>
      <c r="J15">
        <v>0.31819482700325902</v>
      </c>
      <c r="V15" s="29">
        <v>8000</v>
      </c>
      <c r="W15" s="29">
        <f t="shared" si="1"/>
        <v>-1.4853497205717521E-2</v>
      </c>
    </row>
    <row r="16" spans="1:23" x14ac:dyDescent="0.2">
      <c r="A16" s="17" t="s">
        <v>7</v>
      </c>
      <c r="B16" s="85"/>
      <c r="C16" s="18">
        <f ca="1">+$C8+C12</f>
        <v>0.31819320732668122</v>
      </c>
      <c r="D16" s="21">
        <f>+C8+D12+2*D13*MAX(F21:F889)</f>
        <v>0.31819316619718085</v>
      </c>
      <c r="E16" s="137" t="s">
        <v>29</v>
      </c>
      <c r="F16" s="138">
        <f ca="1">NOW()+15018.5+$C$5/24</f>
        <v>59946.691141666663</v>
      </c>
      <c r="G16" s="18">
        <f>+$C8+G12</f>
        <v>0.31819320732668122</v>
      </c>
      <c r="H16" s="18">
        <f>+$C8+H12</f>
        <v>0.31819482700325913</v>
      </c>
      <c r="I16" s="18">
        <f>+$C8+I12</f>
        <v>0.31819470810936046</v>
      </c>
      <c r="V16" s="29">
        <v>9000</v>
      </c>
      <c r="W16" s="29">
        <f t="shared" si="1"/>
        <v>-1.7514400885157825E-2</v>
      </c>
    </row>
    <row r="17" spans="1:23" ht="13.5" thickBot="1" x14ac:dyDescent="0.25">
      <c r="A17" s="16" t="s">
        <v>26</v>
      </c>
      <c r="B17" s="85"/>
      <c r="C17" s="12">
        <f>COUNT(C21:C2173)</f>
        <v>56</v>
      </c>
      <c r="E17" s="137" t="s">
        <v>36</v>
      </c>
      <c r="F17" s="138">
        <f ca="1">ROUND(2*(F16-$C$7)/$C$8,0)/2+F15</f>
        <v>22150</v>
      </c>
      <c r="V17" s="29">
        <v>10000</v>
      </c>
      <c r="W17" s="29">
        <f t="shared" si="1"/>
        <v>-2.0269619387670475E-2</v>
      </c>
    </row>
    <row r="18" spans="1:23" ht="14.25" thickTop="1" thickBot="1" x14ac:dyDescent="0.25">
      <c r="A18" s="5" t="s">
        <v>44</v>
      </c>
      <c r="C18" s="34">
        <f ca="1">+C15</f>
        <v>59560.363015277791</v>
      </c>
      <c r="D18" s="133">
        <f ca="1">C16</f>
        <v>0.31819320732668122</v>
      </c>
      <c r="E18" s="137" t="s">
        <v>30</v>
      </c>
      <c r="F18" s="139">
        <f ca="1">ROUND(2*(F16-$C$15)/$C$16,0)/2+F15</f>
        <v>1215</v>
      </c>
      <c r="I18" s="35">
        <f>I15</f>
        <v>59560.372878810645</v>
      </c>
      <c r="J18" s="142">
        <f>I16</f>
        <v>0.31819470810936046</v>
      </c>
      <c r="K18" t="s">
        <v>270</v>
      </c>
      <c r="V18" s="29">
        <v>11000</v>
      </c>
      <c r="W18" s="29">
        <f t="shared" si="1"/>
        <v>-2.3119152713255479E-2</v>
      </c>
    </row>
    <row r="19" spans="1:23" ht="13.5" thickBot="1" x14ac:dyDescent="0.25">
      <c r="A19" s="5" t="s">
        <v>45</v>
      </c>
      <c r="C19" s="35">
        <f>+D15</f>
        <v>59560.686434255302</v>
      </c>
      <c r="D19" s="134">
        <f>+D16</f>
        <v>0.31819316619718085</v>
      </c>
      <c r="E19" s="140" t="s">
        <v>31</v>
      </c>
      <c r="F19" s="141">
        <f ca="1">+$C$15+$C$16*F18-15018.5-$C$5/24</f>
        <v>44928.863595513045</v>
      </c>
      <c r="V19" s="29">
        <v>12000</v>
      </c>
      <c r="W19" s="29">
        <f t="shared" si="1"/>
        <v>-2.6063000861912825E-2</v>
      </c>
    </row>
    <row r="20" spans="1:23" ht="1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74</v>
      </c>
      <c r="I20" s="7" t="s">
        <v>77</v>
      </c>
      <c r="J20" s="7" t="s">
        <v>71</v>
      </c>
      <c r="K20" s="7" t="s">
        <v>69</v>
      </c>
      <c r="L20" s="7" t="s">
        <v>178</v>
      </c>
      <c r="M20" s="7" t="s">
        <v>173</v>
      </c>
      <c r="N20" s="7" t="s">
        <v>174</v>
      </c>
      <c r="O20" s="7" t="s">
        <v>24</v>
      </c>
      <c r="P20" s="36" t="s">
        <v>23</v>
      </c>
      <c r="Q20" s="4" t="s">
        <v>16</v>
      </c>
      <c r="R20" s="7" t="s">
        <v>46</v>
      </c>
      <c r="S20" s="6" t="s">
        <v>47</v>
      </c>
      <c r="T20" s="7" t="s">
        <v>48</v>
      </c>
      <c r="U20" s="37" t="s">
        <v>49</v>
      </c>
      <c r="V20" s="29">
        <v>13000</v>
      </c>
      <c r="W20" s="29">
        <f t="shared" si="1"/>
        <v>-2.9101163833642526E-2</v>
      </c>
    </row>
    <row r="21" spans="1:23" x14ac:dyDescent="0.2">
      <c r="A21" s="26" t="s">
        <v>38</v>
      </c>
      <c r="B21" s="86"/>
      <c r="C21" s="10">
        <v>51479.656600000002</v>
      </c>
      <c r="D21" s="27" t="s">
        <v>15</v>
      </c>
      <c r="E21" s="25">
        <f t="shared" ref="E21:E52" si="3">+(C21-C$7)/C$8</f>
        <v>-4460.488309129255</v>
      </c>
      <c r="F21">
        <f t="shared" ref="F21:F52" si="4">ROUND(2*E21,0)/2</f>
        <v>-4460.5</v>
      </c>
      <c r="G21">
        <f t="shared" ref="G21:G52" si="5">+C21-(C$7+F21*C$8)</f>
        <v>3.7200000006123446E-3</v>
      </c>
      <c r="K21">
        <f t="shared" ref="K21:K30" si="6">+G21</f>
        <v>3.7200000006123446E-3</v>
      </c>
      <c r="P21" s="38">
        <f t="shared" ref="P21:P52" si="7">+D$11+D$12*F21+D$13*F21^2</f>
        <v>1.0393236979515202E-2</v>
      </c>
      <c r="Q21" s="39">
        <f t="shared" ref="Q21:Q52" si="8">+C21-15018.5</f>
        <v>36461.156600000002</v>
      </c>
      <c r="R21" s="29">
        <f t="shared" ref="R21:R52" si="9">+(P21-G21)^2</f>
        <v>4.4532091776596529E-5</v>
      </c>
      <c r="S21" s="41">
        <v>0.5</v>
      </c>
      <c r="T21" s="29">
        <f t="shared" ref="T21:T52" si="10">+S21*R21</f>
        <v>2.2266045888298264E-5</v>
      </c>
      <c r="U21" s="40"/>
      <c r="V21" s="29">
        <v>14000</v>
      </c>
      <c r="W21" s="29">
        <f t="shared" si="1"/>
        <v>-3.2233641628444575E-2</v>
      </c>
    </row>
    <row r="22" spans="1:23" x14ac:dyDescent="0.2">
      <c r="A22" s="26" t="s">
        <v>37</v>
      </c>
      <c r="B22" s="86"/>
      <c r="C22" s="27">
        <v>52898.811500000003</v>
      </c>
      <c r="D22" s="27" t="s">
        <v>15</v>
      </c>
      <c r="E22">
        <f t="shared" si="3"/>
        <v>-0.50000000000080047</v>
      </c>
      <c r="F22">
        <f t="shared" si="4"/>
        <v>-0.5</v>
      </c>
      <c r="G22">
        <f t="shared" si="5"/>
        <v>0</v>
      </c>
      <c r="K22">
        <f t="shared" si="6"/>
        <v>0</v>
      </c>
      <c r="P22" s="38">
        <f t="shared" si="7"/>
        <v>3.0393282012526356E-3</v>
      </c>
      <c r="Q22" s="2">
        <f t="shared" si="8"/>
        <v>37880.311500000003</v>
      </c>
      <c r="R22" s="29">
        <f t="shared" si="9"/>
        <v>9.2375159149295822E-6</v>
      </c>
      <c r="S22" s="41">
        <v>1</v>
      </c>
      <c r="T22" s="29">
        <f t="shared" si="10"/>
        <v>9.2375159149295822E-6</v>
      </c>
      <c r="U22" s="40"/>
      <c r="V22" s="29">
        <v>15000</v>
      </c>
      <c r="W22" s="29">
        <f t="shared" si="1"/>
        <v>-3.5460434246318971E-2</v>
      </c>
    </row>
    <row r="23" spans="1:23" x14ac:dyDescent="0.2">
      <c r="A23" s="42" t="s">
        <v>39</v>
      </c>
      <c r="B23" s="43" t="s">
        <v>40</v>
      </c>
      <c r="C23" s="42">
        <v>54049.407800000001</v>
      </c>
      <c r="D23" s="42">
        <v>2.5000000000000001E-3</v>
      </c>
      <c r="E23" s="25">
        <f t="shared" si="3"/>
        <v>3615.4872657504538</v>
      </c>
      <c r="F23">
        <f t="shared" si="4"/>
        <v>3615.5</v>
      </c>
      <c r="G23">
        <f t="shared" si="5"/>
        <v>-4.0520000038668513E-3</v>
      </c>
      <c r="K23">
        <f t="shared" si="6"/>
        <v>-4.0520000038668513E-3</v>
      </c>
      <c r="P23" s="38">
        <f t="shared" si="7"/>
        <v>-4.3000732400668013E-3</v>
      </c>
      <c r="Q23" s="2">
        <f t="shared" si="8"/>
        <v>39030.907800000001</v>
      </c>
      <c r="R23" s="29">
        <f t="shared" si="9"/>
        <v>6.1540330518716147E-8</v>
      </c>
      <c r="S23" s="41">
        <v>0.1</v>
      </c>
      <c r="T23" s="29">
        <f t="shared" si="10"/>
        <v>6.1540330518716151E-9</v>
      </c>
      <c r="U23" s="40"/>
      <c r="V23" s="29">
        <v>16000</v>
      </c>
      <c r="W23" s="29">
        <f t="shared" si="1"/>
        <v>-3.8781541687265719E-2</v>
      </c>
    </row>
    <row r="24" spans="1:23" x14ac:dyDescent="0.2">
      <c r="A24" s="83" t="s">
        <v>177</v>
      </c>
      <c r="B24" s="3" t="s">
        <v>42</v>
      </c>
      <c r="C24" s="10">
        <v>54062.457999999999</v>
      </c>
      <c r="D24" s="10">
        <v>2.5000000000000001E-3</v>
      </c>
      <c r="E24" s="25">
        <f t="shared" si="3"/>
        <v>3656.5002231321951</v>
      </c>
      <c r="F24">
        <f t="shared" si="4"/>
        <v>3656.5</v>
      </c>
      <c r="G24">
        <f t="shared" si="5"/>
        <v>7.099999493220821E-5</v>
      </c>
      <c r="K24">
        <f t="shared" si="6"/>
        <v>7.099999493220821E-5</v>
      </c>
      <c r="O24">
        <f t="shared" ref="O24:O67" ca="1" si="11">+C$11+C$12*$F24</f>
        <v>3.7534837271205202E-3</v>
      </c>
      <c r="P24" s="38">
        <f t="shared" si="7"/>
        <v>-4.3903616516474736E-3</v>
      </c>
      <c r="Q24" s="2">
        <f t="shared" si="8"/>
        <v>39043.957999999999</v>
      </c>
      <c r="R24" s="29">
        <f t="shared" si="9"/>
        <v>1.9903747741572171E-5</v>
      </c>
      <c r="S24" s="41">
        <v>0.1</v>
      </c>
      <c r="T24" s="29">
        <f t="shared" si="10"/>
        <v>1.9903747741572172E-6</v>
      </c>
      <c r="U24" s="40"/>
      <c r="V24" s="29">
        <v>17000</v>
      </c>
      <c r="W24" s="29">
        <f t="shared" si="1"/>
        <v>-4.2196963951284819E-2</v>
      </c>
    </row>
    <row r="25" spans="1:23" x14ac:dyDescent="0.2">
      <c r="A25" s="83" t="s">
        <v>177</v>
      </c>
      <c r="B25" s="3" t="s">
        <v>40</v>
      </c>
      <c r="C25" s="10">
        <v>54080.433299999997</v>
      </c>
      <c r="D25" s="10">
        <v>2.5999999999999999E-3</v>
      </c>
      <c r="E25" s="25">
        <f t="shared" si="3"/>
        <v>3712.9913276994857</v>
      </c>
      <c r="F25">
        <f t="shared" si="4"/>
        <v>3713</v>
      </c>
      <c r="G25">
        <f t="shared" si="5"/>
        <v>-2.7595000065048225E-3</v>
      </c>
      <c r="K25">
        <f t="shared" si="6"/>
        <v>-2.7595000065048225E-3</v>
      </c>
      <c r="O25">
        <f t="shared" ca="1" si="11"/>
        <v>3.5391976846077845E-3</v>
      </c>
      <c r="P25" s="38">
        <f t="shared" si="7"/>
        <v>-4.5150432655091995E-3</v>
      </c>
      <c r="Q25" s="2">
        <f t="shared" si="8"/>
        <v>39061.933299999997</v>
      </c>
      <c r="R25" s="29">
        <f t="shared" si="9"/>
        <v>3.0819321342357093E-6</v>
      </c>
      <c r="S25" s="41">
        <v>0.1</v>
      </c>
      <c r="T25" s="29">
        <f t="shared" si="10"/>
        <v>3.0819321342357097E-7</v>
      </c>
      <c r="U25" s="40"/>
      <c r="V25" s="29">
        <v>18000</v>
      </c>
      <c r="W25" s="29">
        <f t="shared" si="1"/>
        <v>-4.5706701038376263E-2</v>
      </c>
    </row>
    <row r="26" spans="1:23" x14ac:dyDescent="0.2">
      <c r="A26" s="83" t="s">
        <v>177</v>
      </c>
      <c r="B26" s="3" t="s">
        <v>40</v>
      </c>
      <c r="C26" s="10">
        <v>54081.387699999999</v>
      </c>
      <c r="D26" s="10">
        <v>3.8E-3</v>
      </c>
      <c r="E26" s="25">
        <f t="shared" si="3"/>
        <v>3715.9907274424195</v>
      </c>
      <c r="F26">
        <f t="shared" si="4"/>
        <v>3716</v>
      </c>
      <c r="G26">
        <f t="shared" si="5"/>
        <v>-2.9505000056815334E-3</v>
      </c>
      <c r="K26">
        <f t="shared" si="6"/>
        <v>-2.9505000056815334E-3</v>
      </c>
      <c r="O26">
        <f t="shared" ca="1" si="11"/>
        <v>3.5278196646513563E-3</v>
      </c>
      <c r="P26" s="38">
        <f t="shared" si="7"/>
        <v>-4.5216719457900813E-3</v>
      </c>
      <c r="Q26" s="2">
        <f t="shared" si="8"/>
        <v>39062.887699999999</v>
      </c>
      <c r="R26" s="29">
        <f t="shared" si="9"/>
        <v>2.4685812653844586E-6</v>
      </c>
      <c r="S26" s="41">
        <v>0.1</v>
      </c>
      <c r="T26" s="29">
        <f t="shared" si="10"/>
        <v>2.4685812653844588E-7</v>
      </c>
      <c r="U26" s="40"/>
      <c r="V26" s="29">
        <v>19000</v>
      </c>
      <c r="W26" s="29">
        <f t="shared" si="1"/>
        <v>-4.9310752948540058E-2</v>
      </c>
    </row>
    <row r="27" spans="1:23" x14ac:dyDescent="0.2">
      <c r="A27" s="83" t="s">
        <v>177</v>
      </c>
      <c r="B27" s="3" t="s">
        <v>40</v>
      </c>
      <c r="C27" s="10">
        <v>54083.2978</v>
      </c>
      <c r="D27" s="10">
        <v>2.0999999999999999E-3</v>
      </c>
      <c r="E27" s="25">
        <f t="shared" si="3"/>
        <v>3721.9936124476239</v>
      </c>
      <c r="F27">
        <f t="shared" si="4"/>
        <v>3722</v>
      </c>
      <c r="G27">
        <f t="shared" si="5"/>
        <v>-2.0325000004959293E-3</v>
      </c>
      <c r="K27">
        <f t="shared" si="6"/>
        <v>-2.0325000004959293E-3</v>
      </c>
      <c r="O27">
        <f t="shared" ca="1" si="11"/>
        <v>3.5050636247384998E-3</v>
      </c>
      <c r="P27" s="38">
        <f t="shared" si="7"/>
        <v>-4.5349318528520701E-3</v>
      </c>
      <c r="Q27" s="2">
        <f t="shared" si="8"/>
        <v>39064.7978</v>
      </c>
      <c r="R27" s="29">
        <f t="shared" si="9"/>
        <v>6.2621651756865858E-6</v>
      </c>
      <c r="S27" s="41">
        <v>0.2</v>
      </c>
      <c r="T27" s="29">
        <f t="shared" si="10"/>
        <v>1.2524330351373173E-6</v>
      </c>
      <c r="U27" s="40"/>
    </row>
    <row r="28" spans="1:23" x14ac:dyDescent="0.2">
      <c r="A28" s="83" t="s">
        <v>177</v>
      </c>
      <c r="B28" s="3" t="s">
        <v>42</v>
      </c>
      <c r="C28" s="10">
        <v>54083.458299999998</v>
      </c>
      <c r="D28" s="10">
        <v>1.6999999999999999E-3</v>
      </c>
      <c r="E28" s="25">
        <f t="shared" si="3"/>
        <v>3722.4980169517457</v>
      </c>
      <c r="F28">
        <f t="shared" si="4"/>
        <v>3722.5</v>
      </c>
      <c r="G28">
        <f t="shared" si="5"/>
        <v>-6.3100000261329114E-4</v>
      </c>
      <c r="K28">
        <f t="shared" si="6"/>
        <v>-6.3100000261329114E-4</v>
      </c>
      <c r="O28">
        <f t="shared" ca="1" si="11"/>
        <v>3.503167288079095E-3</v>
      </c>
      <c r="P28" s="38">
        <f t="shared" si="7"/>
        <v>-4.5360369983688236E-3</v>
      </c>
      <c r="Q28" s="2">
        <f t="shared" si="8"/>
        <v>39064.958299999998</v>
      </c>
      <c r="R28" s="29">
        <f t="shared" si="9"/>
        <v>1.5249313938219395E-5</v>
      </c>
      <c r="S28" s="41">
        <v>0.3</v>
      </c>
      <c r="T28" s="29">
        <f t="shared" si="10"/>
        <v>4.5747941814658188E-6</v>
      </c>
      <c r="U28" s="40"/>
    </row>
    <row r="29" spans="1:23" x14ac:dyDescent="0.2">
      <c r="A29" s="42" t="s">
        <v>39</v>
      </c>
      <c r="B29" s="43"/>
      <c r="C29" s="42">
        <v>54084.412700000001</v>
      </c>
      <c r="D29" s="42">
        <v>2.9999999999999997E-4</v>
      </c>
      <c r="E29" s="25">
        <f t="shared" si="3"/>
        <v>3725.4974166946799</v>
      </c>
      <c r="F29">
        <f t="shared" si="4"/>
        <v>3725.5</v>
      </c>
      <c r="G29">
        <f t="shared" si="5"/>
        <v>-8.2200000179000199E-4</v>
      </c>
      <c r="K29">
        <f t="shared" si="6"/>
        <v>-8.2200000179000199E-4</v>
      </c>
      <c r="O29">
        <f t="shared" ca="1" si="11"/>
        <v>3.4917892681226668E-3</v>
      </c>
      <c r="P29" s="38">
        <f t="shared" si="7"/>
        <v>-4.5426683666221646E-3</v>
      </c>
      <c r="Q29" s="2">
        <f t="shared" si="8"/>
        <v>39065.912700000001</v>
      </c>
      <c r="R29" s="29">
        <f t="shared" si="9"/>
        <v>1.3843373081062838E-5</v>
      </c>
      <c r="S29" s="41">
        <v>1</v>
      </c>
      <c r="T29" s="29">
        <f t="shared" si="10"/>
        <v>1.3843373081062838E-5</v>
      </c>
      <c r="U29" s="40"/>
    </row>
    <row r="30" spans="1:23" x14ac:dyDescent="0.2">
      <c r="A30" s="83" t="s">
        <v>177</v>
      </c>
      <c r="B30" s="3" t="s">
        <v>40</v>
      </c>
      <c r="C30" s="10">
        <v>54095.389300000003</v>
      </c>
      <c r="D30" s="10">
        <v>2E-3</v>
      </c>
      <c r="E30" s="25">
        <f t="shared" si="3"/>
        <v>3759.9936564455315</v>
      </c>
      <c r="F30">
        <f t="shared" si="4"/>
        <v>3760</v>
      </c>
      <c r="G30">
        <f t="shared" si="5"/>
        <v>-2.0185000030323863E-3</v>
      </c>
      <c r="K30">
        <f t="shared" si="6"/>
        <v>-2.0185000030323863E-3</v>
      </c>
      <c r="O30">
        <f t="shared" ca="1" si="11"/>
        <v>3.3609420386237401E-3</v>
      </c>
      <c r="P30" s="38">
        <f t="shared" si="7"/>
        <v>-4.6189901114367521E-3</v>
      </c>
      <c r="Q30" s="2">
        <f t="shared" si="8"/>
        <v>39076.889300000003</v>
      </c>
      <c r="R30" s="29">
        <f t="shared" si="9"/>
        <v>6.7625488039089504E-6</v>
      </c>
      <c r="S30" s="41">
        <v>0.2</v>
      </c>
      <c r="T30" s="29">
        <f t="shared" si="10"/>
        <v>1.3525097607817902E-6</v>
      </c>
      <c r="U30" s="40"/>
    </row>
    <row r="31" spans="1:23" x14ac:dyDescent="0.2">
      <c r="A31" s="42" t="s">
        <v>175</v>
      </c>
      <c r="B31" s="43" t="s">
        <v>40</v>
      </c>
      <c r="C31" s="28">
        <v>54507.298000000003</v>
      </c>
      <c r="D31" s="42">
        <v>0.01</v>
      </c>
      <c r="E31" s="25">
        <f t="shared" si="3"/>
        <v>5054.5020899002784</v>
      </c>
      <c r="F31">
        <f t="shared" si="4"/>
        <v>5054.5</v>
      </c>
      <c r="G31">
        <f t="shared" si="5"/>
        <v>6.6499999957159162E-4</v>
      </c>
      <c r="I31">
        <f>+G31</f>
        <v>6.6499999957159162E-4</v>
      </c>
      <c r="O31">
        <f t="shared" ca="1" si="11"/>
        <v>-1.5486735725751197E-3</v>
      </c>
      <c r="P31" s="38">
        <f t="shared" si="7"/>
        <v>-7.5638438731607718E-3</v>
      </c>
      <c r="Q31" s="2">
        <f t="shared" si="8"/>
        <v>39488.798000000003</v>
      </c>
      <c r="R31" s="29">
        <f t="shared" si="9"/>
        <v>6.7713871481804954E-5</v>
      </c>
      <c r="S31" s="41">
        <v>0.1</v>
      </c>
      <c r="T31" s="29">
        <f t="shared" si="10"/>
        <v>6.7713871481804956E-6</v>
      </c>
      <c r="U31" s="40"/>
    </row>
    <row r="32" spans="1:23" x14ac:dyDescent="0.2">
      <c r="A32" s="42" t="s">
        <v>175</v>
      </c>
      <c r="B32" s="43" t="s">
        <v>40</v>
      </c>
      <c r="C32" s="42">
        <v>54808.303999999996</v>
      </c>
      <c r="D32" s="42">
        <v>0.01</v>
      </c>
      <c r="E32" s="25">
        <f t="shared" si="3"/>
        <v>6000.4758105827295</v>
      </c>
      <c r="F32">
        <f t="shared" si="4"/>
        <v>6000.5</v>
      </c>
      <c r="G32">
        <f t="shared" si="5"/>
        <v>-7.6970000081928447E-3</v>
      </c>
      <c r="I32">
        <f>+G32</f>
        <v>-7.6970000081928447E-3</v>
      </c>
      <c r="O32">
        <f t="shared" ca="1" si="11"/>
        <v>-5.1365425321688793E-3</v>
      </c>
      <c r="P32" s="38">
        <f t="shared" si="7"/>
        <v>-9.8158468861541965E-3</v>
      </c>
      <c r="Q32" s="2">
        <f t="shared" si="8"/>
        <v>39789.803999999996</v>
      </c>
      <c r="R32" s="29">
        <f t="shared" si="9"/>
        <v>4.4895120922465673E-6</v>
      </c>
      <c r="S32" s="41">
        <v>0.1</v>
      </c>
      <c r="T32" s="29">
        <f t="shared" si="10"/>
        <v>4.4895120922465675E-7</v>
      </c>
      <c r="U32" s="40"/>
    </row>
    <row r="33" spans="1:24" x14ac:dyDescent="0.2">
      <c r="A33" s="42" t="s">
        <v>43</v>
      </c>
      <c r="B33" s="43" t="s">
        <v>40</v>
      </c>
      <c r="C33" s="42">
        <v>55080.362500000003</v>
      </c>
      <c r="D33" s="42">
        <v>2.9999999999999997E-4</v>
      </c>
      <c r="E33" s="25">
        <f t="shared" si="3"/>
        <v>6855.4760148587166</v>
      </c>
      <c r="F33">
        <f t="shared" si="4"/>
        <v>6855.5</v>
      </c>
      <c r="G33">
        <f t="shared" si="5"/>
        <v>-7.6320000007399358E-3</v>
      </c>
      <c r="K33">
        <f t="shared" ref="K33:K47" si="12">+G33</f>
        <v>-7.6320000007399358E-3</v>
      </c>
      <c r="O33">
        <f t="shared" ca="1" si="11"/>
        <v>-8.3792782197509783E-3</v>
      </c>
      <c r="P33" s="38">
        <f t="shared" si="7"/>
        <v>-1.1923835164113605E-2</v>
      </c>
      <c r="Q33" s="2">
        <f t="shared" si="8"/>
        <v>40061.862500000003</v>
      </c>
      <c r="R33" s="29">
        <f t="shared" si="9"/>
        <v>1.8419849069570692E-5</v>
      </c>
      <c r="S33" s="41">
        <v>1</v>
      </c>
      <c r="T33" s="29">
        <f t="shared" si="10"/>
        <v>1.8419849069570692E-5</v>
      </c>
      <c r="U33" s="40"/>
    </row>
    <row r="34" spans="1:24" x14ac:dyDescent="0.2">
      <c r="A34" s="42" t="s">
        <v>41</v>
      </c>
      <c r="B34" s="43" t="s">
        <v>40</v>
      </c>
      <c r="C34" s="42">
        <v>55080.518199999999</v>
      </c>
      <c r="D34" s="42">
        <v>1E-4</v>
      </c>
      <c r="E34" s="25">
        <f t="shared" si="3"/>
        <v>6855.9653343683158</v>
      </c>
      <c r="F34">
        <f t="shared" si="4"/>
        <v>6856</v>
      </c>
      <c r="G34">
        <f t="shared" si="5"/>
        <v>-1.1030500005290378E-2</v>
      </c>
      <c r="K34">
        <f t="shared" si="12"/>
        <v>-1.1030500005290378E-2</v>
      </c>
      <c r="O34">
        <f t="shared" ca="1" si="11"/>
        <v>-8.3811745564103812E-3</v>
      </c>
      <c r="P34" s="38">
        <f t="shared" si="7"/>
        <v>-1.1925088077379405E-2</v>
      </c>
      <c r="Q34" s="2">
        <f t="shared" si="8"/>
        <v>40062.018199999999</v>
      </c>
      <c r="R34" s="29">
        <f t="shared" si="9"/>
        <v>8.0028781872396293E-7</v>
      </c>
      <c r="S34" s="41">
        <v>1</v>
      </c>
      <c r="T34" s="29">
        <f t="shared" si="10"/>
        <v>8.0028781872396293E-7</v>
      </c>
      <c r="U34" s="40"/>
    </row>
    <row r="35" spans="1:24" x14ac:dyDescent="0.2">
      <c r="A35" s="42" t="s">
        <v>41</v>
      </c>
      <c r="B35" s="43" t="s">
        <v>40</v>
      </c>
      <c r="C35" s="42">
        <v>55103.427900000002</v>
      </c>
      <c r="D35" s="42">
        <v>2.9999999999999997E-4</v>
      </c>
      <c r="E35" s="25">
        <f t="shared" si="3"/>
        <v>6927.9638132980472</v>
      </c>
      <c r="F35">
        <f t="shared" si="4"/>
        <v>6928</v>
      </c>
      <c r="G35">
        <f t="shared" si="5"/>
        <v>-1.1514500001794659E-2</v>
      </c>
      <c r="K35">
        <f t="shared" si="12"/>
        <v>-1.1514500001794659E-2</v>
      </c>
      <c r="O35">
        <f t="shared" ca="1" si="11"/>
        <v>-8.6542470353646629E-3</v>
      </c>
      <c r="P35" s="38">
        <f t="shared" si="7"/>
        <v>-1.2105753749343083E-2</v>
      </c>
      <c r="Q35" s="2">
        <f t="shared" si="8"/>
        <v>40084.927900000002</v>
      </c>
      <c r="R35" s="29">
        <f t="shared" si="9"/>
        <v>3.4958099399005566E-7</v>
      </c>
      <c r="S35" s="41">
        <v>1</v>
      </c>
      <c r="T35" s="29">
        <f t="shared" si="10"/>
        <v>3.4958099399005566E-7</v>
      </c>
      <c r="U35" s="40"/>
    </row>
    <row r="36" spans="1:24" x14ac:dyDescent="0.2">
      <c r="A36" s="42" t="s">
        <v>41</v>
      </c>
      <c r="B36" s="43" t="s">
        <v>42</v>
      </c>
      <c r="C36" s="42">
        <v>55103.5887</v>
      </c>
      <c r="D36" s="42">
        <v>4.0000000000000002E-4</v>
      </c>
      <c r="E36" s="25">
        <f t="shared" si="3"/>
        <v>6928.4691606143251</v>
      </c>
      <c r="F36">
        <f t="shared" si="4"/>
        <v>6928.5</v>
      </c>
      <c r="G36">
        <f t="shared" si="5"/>
        <v>-9.8130000042147003E-3</v>
      </c>
      <c r="K36">
        <f t="shared" si="12"/>
        <v>-9.8130000042147003E-3</v>
      </c>
      <c r="O36">
        <f t="shared" ca="1" si="11"/>
        <v>-8.6561433720240694E-3</v>
      </c>
      <c r="P36" s="38">
        <f t="shared" si="7"/>
        <v>-1.2107010081521222E-2</v>
      </c>
      <c r="Q36" s="2">
        <f t="shared" si="8"/>
        <v>40085.0887</v>
      </c>
      <c r="R36" s="29">
        <f t="shared" si="9"/>
        <v>5.262482234783872E-6</v>
      </c>
      <c r="S36" s="41">
        <v>1</v>
      </c>
      <c r="T36" s="29">
        <f t="shared" si="10"/>
        <v>5.262482234783872E-6</v>
      </c>
      <c r="U36" s="40"/>
    </row>
    <row r="37" spans="1:24" x14ac:dyDescent="0.2">
      <c r="A37" s="42" t="s">
        <v>41</v>
      </c>
      <c r="B37" s="43" t="s">
        <v>42</v>
      </c>
      <c r="C37" s="42">
        <v>55144.318899999998</v>
      </c>
      <c r="D37" s="42">
        <v>8.0000000000000004E-4</v>
      </c>
      <c r="E37" s="25">
        <f t="shared" si="3"/>
        <v>7056.472253038195</v>
      </c>
      <c r="F37">
        <f t="shared" si="4"/>
        <v>7056.5</v>
      </c>
      <c r="G37">
        <f t="shared" si="5"/>
        <v>-8.8290000057895668E-3</v>
      </c>
      <c r="K37">
        <f t="shared" si="12"/>
        <v>-8.8290000057895668E-3</v>
      </c>
      <c r="O37">
        <f t="shared" ca="1" si="11"/>
        <v>-9.141605556831682E-3</v>
      </c>
      <c r="P37" s="38">
        <f t="shared" si="7"/>
        <v>-1.242940676422954E-2</v>
      </c>
      <c r="Q37" s="2">
        <f t="shared" si="8"/>
        <v>40125.818899999998</v>
      </c>
      <c r="R37" s="29">
        <f t="shared" si="9"/>
        <v>1.2962928826220232E-5</v>
      </c>
      <c r="S37" s="41">
        <v>0.7</v>
      </c>
      <c r="T37" s="29">
        <f t="shared" si="10"/>
        <v>9.0740501783541627E-6</v>
      </c>
      <c r="U37" s="40"/>
    </row>
    <row r="38" spans="1:24" x14ac:dyDescent="0.2">
      <c r="A38" s="42" t="s">
        <v>43</v>
      </c>
      <c r="B38" s="43" t="s">
        <v>40</v>
      </c>
      <c r="C38" s="42">
        <v>55392.507100000003</v>
      </c>
      <c r="D38" s="42">
        <v>1E-4</v>
      </c>
      <c r="E38" s="25">
        <f t="shared" si="3"/>
        <v>7836.4550938569464</v>
      </c>
      <c r="F38">
        <f t="shared" si="4"/>
        <v>7836.5</v>
      </c>
      <c r="G38">
        <f t="shared" si="5"/>
        <v>-1.4288999998825602E-2</v>
      </c>
      <c r="K38">
        <f t="shared" si="12"/>
        <v>-1.4288999998825602E-2</v>
      </c>
      <c r="O38">
        <f t="shared" ca="1" si="11"/>
        <v>-1.2099890745503068E-2</v>
      </c>
      <c r="P38" s="38">
        <f t="shared" si="7"/>
        <v>-1.4427410314629734E-2</v>
      </c>
      <c r="Q38" s="2">
        <f t="shared" si="8"/>
        <v>40374.007100000003</v>
      </c>
      <c r="R38" s="29">
        <f t="shared" si="9"/>
        <v>1.9157415520999382E-8</v>
      </c>
      <c r="S38" s="41">
        <v>1</v>
      </c>
      <c r="T38" s="29">
        <f t="shared" si="10"/>
        <v>1.9157415520999382E-8</v>
      </c>
      <c r="U38" s="40"/>
    </row>
    <row r="39" spans="1:24" x14ac:dyDescent="0.2">
      <c r="A39" s="45" t="s">
        <v>50</v>
      </c>
      <c r="B39" s="46" t="s">
        <v>42</v>
      </c>
      <c r="C39" s="47">
        <v>55487.329400000002</v>
      </c>
      <c r="D39" s="47">
        <v>2.0000000000000001E-4</v>
      </c>
      <c r="E39" s="25">
        <f t="shared" si="3"/>
        <v>8134.4538179178262</v>
      </c>
      <c r="F39">
        <f t="shared" si="4"/>
        <v>8134.5</v>
      </c>
      <c r="G39">
        <f t="shared" si="5"/>
        <v>-1.4694999998027924E-2</v>
      </c>
      <c r="K39">
        <f t="shared" si="12"/>
        <v>-1.4694999998027924E-2</v>
      </c>
      <c r="O39">
        <f t="shared" ca="1" si="11"/>
        <v>-1.3230107394508292E-2</v>
      </c>
      <c r="P39" s="38">
        <f t="shared" si="7"/>
        <v>-1.5205899168114668E-2</v>
      </c>
      <c r="Q39" s="2">
        <f t="shared" si="8"/>
        <v>40468.829400000002</v>
      </c>
      <c r="R39" s="29">
        <f t="shared" si="9"/>
        <v>2.6101796199532349E-7</v>
      </c>
      <c r="S39" s="41">
        <v>1</v>
      </c>
      <c r="T39" s="29">
        <f t="shared" si="10"/>
        <v>2.6101796199532349E-7</v>
      </c>
      <c r="U39" s="40"/>
    </row>
    <row r="40" spans="1:24" x14ac:dyDescent="0.2">
      <c r="A40" s="45" t="s">
        <v>50</v>
      </c>
      <c r="B40" s="46" t="s">
        <v>40</v>
      </c>
      <c r="C40" s="84">
        <v>55487.488899999997</v>
      </c>
      <c r="D40" s="84">
        <v>1E-4</v>
      </c>
      <c r="E40" s="25">
        <f t="shared" si="3"/>
        <v>8134.9550797147458</v>
      </c>
      <c r="F40">
        <f t="shared" si="4"/>
        <v>8135</v>
      </c>
      <c r="G40">
        <f t="shared" si="5"/>
        <v>-1.4293500003986992E-2</v>
      </c>
      <c r="K40">
        <f t="shared" si="12"/>
        <v>-1.4293500003986992E-2</v>
      </c>
      <c r="O40">
        <f t="shared" ca="1" si="11"/>
        <v>-1.3232003731167695E-2</v>
      </c>
      <c r="P40" s="38">
        <f t="shared" si="7"/>
        <v>-1.5207212395709825E-2</v>
      </c>
      <c r="Q40" s="2">
        <f t="shared" si="8"/>
        <v>40468.988899999997</v>
      </c>
      <c r="R40" s="29">
        <f t="shared" si="9"/>
        <v>8.3487033478786082E-7</v>
      </c>
      <c r="S40" s="41">
        <v>1</v>
      </c>
      <c r="T40" s="29">
        <f t="shared" si="10"/>
        <v>8.3487033478786082E-7</v>
      </c>
      <c r="U40" s="40"/>
    </row>
    <row r="41" spans="1:24" x14ac:dyDescent="0.2">
      <c r="A41" s="90" t="s">
        <v>223</v>
      </c>
      <c r="B41" s="3" t="s">
        <v>42</v>
      </c>
      <c r="C41" s="10">
        <v>55509.284119999997</v>
      </c>
      <c r="D41" s="10">
        <v>2.5000000000000001E-4</v>
      </c>
      <c r="E41" s="25">
        <f t="shared" si="3"/>
        <v>8203.4510743344308</v>
      </c>
      <c r="F41">
        <f t="shared" si="4"/>
        <v>8203.5</v>
      </c>
      <c r="G41">
        <f t="shared" si="5"/>
        <v>-1.5568000009807292E-2</v>
      </c>
      <c r="K41">
        <f t="shared" si="12"/>
        <v>-1.5568000009807292E-2</v>
      </c>
      <c r="O41">
        <f t="shared" ca="1" si="11"/>
        <v>-1.3491801853506145E-2</v>
      </c>
      <c r="P41" s="38">
        <f t="shared" si="7"/>
        <v>-1.53873474657519E-2</v>
      </c>
      <c r="Q41" s="2">
        <f t="shared" si="8"/>
        <v>40490.784119999997</v>
      </c>
      <c r="R41" s="29">
        <f t="shared" si="9"/>
        <v>3.2635341673685584E-8</v>
      </c>
      <c r="S41" s="41">
        <v>1</v>
      </c>
      <c r="T41" s="29">
        <f t="shared" si="10"/>
        <v>3.2635341673685584E-8</v>
      </c>
      <c r="U41" s="40"/>
    </row>
    <row r="42" spans="1:24" x14ac:dyDescent="0.2">
      <c r="A42" s="45" t="s">
        <v>50</v>
      </c>
      <c r="B42" s="46" t="s">
        <v>40</v>
      </c>
      <c r="C42" s="47">
        <v>55509.444000000003</v>
      </c>
      <c r="D42" s="47">
        <v>8.0000000000000004E-4</v>
      </c>
      <c r="E42" s="25">
        <f t="shared" si="3"/>
        <v>8203.9535303601206</v>
      </c>
      <c r="F42">
        <f t="shared" si="4"/>
        <v>8204</v>
      </c>
      <c r="G42">
        <f t="shared" si="5"/>
        <v>-1.4786500003538094E-2</v>
      </c>
      <c r="K42">
        <f t="shared" si="12"/>
        <v>-1.4786500003538094E-2</v>
      </c>
      <c r="O42">
        <f t="shared" ca="1" si="11"/>
        <v>-1.3493698190165548E-2</v>
      </c>
      <c r="P42" s="38">
        <f t="shared" si="7"/>
        <v>-1.5388663947208454E-2</v>
      </c>
      <c r="Q42" s="2">
        <f t="shared" si="8"/>
        <v>40490.944000000003</v>
      </c>
      <c r="R42" s="29">
        <f t="shared" si="9"/>
        <v>3.6260141505664038E-7</v>
      </c>
      <c r="S42" s="41">
        <v>0.7</v>
      </c>
      <c r="T42" s="29">
        <f t="shared" si="10"/>
        <v>2.5382099053964826E-7</v>
      </c>
      <c r="U42" s="40"/>
    </row>
    <row r="43" spans="1:24" x14ac:dyDescent="0.2">
      <c r="A43" s="45" t="s">
        <v>50</v>
      </c>
      <c r="B43" s="46" t="s">
        <v>42</v>
      </c>
      <c r="C43" s="47">
        <v>55528.376799999998</v>
      </c>
      <c r="D43" s="47">
        <v>0</v>
      </c>
      <c r="E43" s="25">
        <f t="shared" si="3"/>
        <v>8263.4537770626193</v>
      </c>
      <c r="F43">
        <f t="shared" si="4"/>
        <v>8263.5</v>
      </c>
      <c r="G43">
        <f t="shared" si="5"/>
        <v>-1.4708000002428889E-2</v>
      </c>
      <c r="K43">
        <f t="shared" si="12"/>
        <v>-1.4708000002428889E-2</v>
      </c>
      <c r="O43">
        <f t="shared" ca="1" si="11"/>
        <v>-1.3719362252634714E-2</v>
      </c>
      <c r="P43" s="38">
        <f t="shared" si="7"/>
        <v>-1.5545493592497392E-2</v>
      </c>
      <c r="Q43" s="2">
        <f t="shared" si="8"/>
        <v>40509.876799999998</v>
      </c>
      <c r="R43" s="29">
        <f t="shared" si="9"/>
        <v>7.0139551340582915E-7</v>
      </c>
      <c r="S43" s="41">
        <v>1</v>
      </c>
      <c r="T43" s="29">
        <f t="shared" si="10"/>
        <v>7.0139551340582915E-7</v>
      </c>
      <c r="U43" s="40"/>
    </row>
    <row r="44" spans="1:24" x14ac:dyDescent="0.2">
      <c r="A44" s="90" t="s">
        <v>223</v>
      </c>
      <c r="B44" s="46" t="s">
        <v>42</v>
      </c>
      <c r="C44" s="10">
        <v>55538.241670000003</v>
      </c>
      <c r="D44" s="10">
        <v>6.0000000000000002E-5</v>
      </c>
      <c r="E44" s="25">
        <f t="shared" si="3"/>
        <v>8294.4561749482218</v>
      </c>
      <c r="F44">
        <f t="shared" si="4"/>
        <v>8294.5</v>
      </c>
      <c r="G44">
        <f t="shared" si="5"/>
        <v>-1.3944999998784624E-2</v>
      </c>
      <c r="K44">
        <f t="shared" si="12"/>
        <v>-1.3944999998784624E-2</v>
      </c>
      <c r="O44">
        <f t="shared" ca="1" si="11"/>
        <v>-1.383693512551781E-2</v>
      </c>
      <c r="P44" s="38">
        <f t="shared" si="7"/>
        <v>-1.5627335455707173E-2</v>
      </c>
      <c r="Q44" s="2">
        <f t="shared" si="8"/>
        <v>40519.741670000003</v>
      </c>
      <c r="R44" s="29">
        <f t="shared" si="9"/>
        <v>2.8302525896188E-6</v>
      </c>
      <c r="S44" s="41">
        <v>1</v>
      </c>
      <c r="T44" s="29">
        <f t="shared" si="10"/>
        <v>2.8302525896188E-6</v>
      </c>
      <c r="U44" s="40"/>
    </row>
    <row r="45" spans="1:24" x14ac:dyDescent="0.2">
      <c r="A45" s="45" t="s">
        <v>50</v>
      </c>
      <c r="B45" s="46" t="s">
        <v>42</v>
      </c>
      <c r="C45" s="47">
        <v>55551.287199999999</v>
      </c>
      <c r="D45" s="47">
        <v>1E-4</v>
      </c>
      <c r="E45" s="25">
        <f t="shared" si="3"/>
        <v>8335.4544558873749</v>
      </c>
      <c r="F45">
        <f t="shared" si="4"/>
        <v>8335.5</v>
      </c>
      <c r="G45">
        <f t="shared" si="5"/>
        <v>-1.4492000002064742E-2</v>
      </c>
      <c r="K45">
        <f t="shared" si="12"/>
        <v>-1.4492000002064742E-2</v>
      </c>
      <c r="O45">
        <f t="shared" ca="1" si="11"/>
        <v>-1.3992434731588992E-2</v>
      </c>
      <c r="P45" s="38">
        <f t="shared" si="7"/>
        <v>-1.573571712863122E-2</v>
      </c>
      <c r="Q45" s="2">
        <f t="shared" si="8"/>
        <v>40532.787199999999</v>
      </c>
      <c r="R45" s="29">
        <f t="shared" si="9"/>
        <v>1.5468322909147763E-6</v>
      </c>
      <c r="S45" s="41">
        <v>1</v>
      </c>
      <c r="T45" s="29">
        <f t="shared" si="10"/>
        <v>1.5468322909147763E-6</v>
      </c>
      <c r="U45" s="40"/>
      <c r="W45" t="s">
        <v>179</v>
      </c>
    </row>
    <row r="46" spans="1:24" ht="13.5" thickBot="1" x14ac:dyDescent="0.25">
      <c r="A46" s="45" t="s">
        <v>50</v>
      </c>
      <c r="B46" s="46" t="s">
        <v>42</v>
      </c>
      <c r="C46" s="47">
        <v>55553.196199999998</v>
      </c>
      <c r="D46" s="47">
        <v>1E-4</v>
      </c>
      <c r="E46" s="25">
        <f t="shared" si="3"/>
        <v>8341.4538839146644</v>
      </c>
      <c r="F46">
        <f t="shared" si="4"/>
        <v>8341.5</v>
      </c>
      <c r="G46">
        <f t="shared" si="5"/>
        <v>-1.4674000005470589E-2</v>
      </c>
      <c r="K46">
        <f t="shared" si="12"/>
        <v>-1.4674000005470589E-2</v>
      </c>
      <c r="O46">
        <f t="shared" ca="1" si="11"/>
        <v>-1.4015190771501849E-2</v>
      </c>
      <c r="P46" s="38">
        <f t="shared" si="7"/>
        <v>-1.5751591159644307E-2</v>
      </c>
      <c r="Q46" s="2">
        <f t="shared" si="8"/>
        <v>40534.696199999998</v>
      </c>
      <c r="R46" s="29">
        <f t="shared" si="9"/>
        <v>1.1612026955534462E-6</v>
      </c>
      <c r="S46" s="41">
        <v>1</v>
      </c>
      <c r="T46" s="29">
        <f t="shared" si="10"/>
        <v>1.1612026955534462E-6</v>
      </c>
      <c r="U46" s="40"/>
    </row>
    <row r="47" spans="1:24" x14ac:dyDescent="0.2">
      <c r="A47" s="90" t="s">
        <v>223</v>
      </c>
      <c r="B47" s="3" t="s">
        <v>40</v>
      </c>
      <c r="C47" s="10">
        <v>55553.353020000002</v>
      </c>
      <c r="D47" s="10">
        <v>6.9999999999999994E-5</v>
      </c>
      <c r="E47" s="25">
        <f t="shared" si="3"/>
        <v>8341.946723256342</v>
      </c>
      <c r="F47">
        <f t="shared" si="4"/>
        <v>8342</v>
      </c>
      <c r="G47">
        <f t="shared" si="5"/>
        <v>-1.6952500001934823E-2</v>
      </c>
      <c r="K47">
        <f t="shared" si="12"/>
        <v>-1.6952500001934823E-2</v>
      </c>
      <c r="O47">
        <f t="shared" ca="1" si="11"/>
        <v>-1.4017087108161259E-2</v>
      </c>
      <c r="P47" s="38">
        <f t="shared" si="7"/>
        <v>-1.5752914148823651E-2</v>
      </c>
      <c r="Q47" s="2">
        <f t="shared" si="8"/>
        <v>40534.853020000002</v>
      </c>
      <c r="R47" s="29">
        <f t="shared" si="9"/>
        <v>1.4390062189844573E-6</v>
      </c>
      <c r="S47" s="41">
        <v>1</v>
      </c>
      <c r="T47" s="29">
        <f t="shared" si="10"/>
        <v>1.4390062189844573E-6</v>
      </c>
      <c r="U47" s="40"/>
      <c r="W47" s="89" t="s">
        <v>180</v>
      </c>
      <c r="X47" s="89"/>
    </row>
    <row r="48" spans="1:24" x14ac:dyDescent="0.2">
      <c r="A48" s="28" t="s">
        <v>52</v>
      </c>
      <c r="B48" s="44" t="s">
        <v>42</v>
      </c>
      <c r="C48" s="27">
        <v>56167.946000000004</v>
      </c>
      <c r="D48" s="27">
        <v>2E-3</v>
      </c>
      <c r="E48" s="25">
        <f t="shared" si="3"/>
        <v>10273.432500934954</v>
      </c>
      <c r="F48">
        <f t="shared" si="4"/>
        <v>10273.5</v>
      </c>
      <c r="G48">
        <f t="shared" si="5"/>
        <v>-2.1478000002389308E-2</v>
      </c>
      <c r="L48">
        <f>+G48</f>
        <v>-2.1478000002389308E-2</v>
      </c>
      <c r="O48">
        <f t="shared" ca="1" si="11"/>
        <v>-2.1342635623441752E-2</v>
      </c>
      <c r="P48" s="38">
        <f t="shared" si="7"/>
        <v>-2.1039596680649912E-2</v>
      </c>
      <c r="Q48" s="2">
        <f t="shared" si="8"/>
        <v>41149.446000000004</v>
      </c>
      <c r="R48" s="29">
        <f t="shared" si="9"/>
        <v>1.9219747251213632E-7</v>
      </c>
      <c r="S48" s="41">
        <v>0.2</v>
      </c>
      <c r="T48" s="29">
        <f t="shared" si="10"/>
        <v>3.8439494502427264E-8</v>
      </c>
      <c r="U48" s="40"/>
      <c r="W48" t="s">
        <v>181</v>
      </c>
      <c r="X48">
        <v>0.99343877676307712</v>
      </c>
    </row>
    <row r="49" spans="1:31" x14ac:dyDescent="0.2">
      <c r="A49" s="50" t="s">
        <v>51</v>
      </c>
      <c r="B49" s="51" t="s">
        <v>40</v>
      </c>
      <c r="C49" s="27">
        <v>56279.6322</v>
      </c>
      <c r="D49" s="27">
        <v>1E-4</v>
      </c>
      <c r="E49" s="25">
        <f t="shared" si="3"/>
        <v>10624.429524791234</v>
      </c>
      <c r="F49">
        <f t="shared" si="4"/>
        <v>10624.5</v>
      </c>
      <c r="G49">
        <f t="shared" si="5"/>
        <v>-2.2425000002840534E-2</v>
      </c>
      <c r="K49">
        <f>+G49</f>
        <v>-2.2425000002840534E-2</v>
      </c>
      <c r="O49">
        <f t="shared" ca="1" si="11"/>
        <v>-2.2673863958343875E-2</v>
      </c>
      <c r="P49" s="38">
        <f t="shared" si="7"/>
        <v>-2.2038094548282428E-2</v>
      </c>
      <c r="Q49" s="2">
        <f t="shared" si="8"/>
        <v>41261.1322</v>
      </c>
      <c r="R49" s="29">
        <f t="shared" si="9"/>
        <v>1.4969583076681489E-7</v>
      </c>
      <c r="S49" s="41">
        <v>1</v>
      </c>
      <c r="T49" s="29">
        <f t="shared" si="10"/>
        <v>1.4969583076681489E-7</v>
      </c>
      <c r="U49" s="40"/>
      <c r="W49" t="s">
        <v>182</v>
      </c>
      <c r="X49">
        <v>0.98692060317651908</v>
      </c>
    </row>
    <row r="50" spans="1:31" x14ac:dyDescent="0.2">
      <c r="A50" s="48" t="s">
        <v>54</v>
      </c>
      <c r="B50" s="49" t="s">
        <v>40</v>
      </c>
      <c r="C50" s="52">
        <v>56514.935799999999</v>
      </c>
      <c r="D50" s="10">
        <v>2.0000000000000001E-4</v>
      </c>
      <c r="E50" s="25">
        <f t="shared" si="3"/>
        <v>11363.919840539023</v>
      </c>
      <c r="F50">
        <f t="shared" si="4"/>
        <v>11364</v>
      </c>
      <c r="G50">
        <f t="shared" si="5"/>
        <v>-2.5506500001938548E-2</v>
      </c>
      <c r="L50">
        <f>+G50</f>
        <v>-2.5506500001938548E-2</v>
      </c>
      <c r="O50">
        <f t="shared" ca="1" si="11"/>
        <v>-2.5478545877603478E-2</v>
      </c>
      <c r="P50" s="38">
        <f t="shared" si="7"/>
        <v>-2.4179796309966479E-2</v>
      </c>
      <c r="Q50" s="2">
        <f t="shared" si="8"/>
        <v>41496.435799999999</v>
      </c>
      <c r="R50" s="29">
        <f t="shared" si="9"/>
        <v>1.7601426862923171E-6</v>
      </c>
      <c r="S50" s="41">
        <v>1</v>
      </c>
      <c r="T50" s="29">
        <f t="shared" si="10"/>
        <v>1.7601426862923171E-6</v>
      </c>
      <c r="U50" s="40"/>
      <c r="W50" t="s">
        <v>183</v>
      </c>
      <c r="X50">
        <v>0.98430472381182299</v>
      </c>
    </row>
    <row r="51" spans="1:31" x14ac:dyDescent="0.2">
      <c r="A51" s="68" t="s">
        <v>130</v>
      </c>
      <c r="B51" s="87" t="s">
        <v>40</v>
      </c>
      <c r="C51" s="69">
        <v>56516.525999999998</v>
      </c>
      <c r="D51" s="69" t="s">
        <v>77</v>
      </c>
      <c r="E51" s="25">
        <f t="shared" si="3"/>
        <v>11368.917373513874</v>
      </c>
      <c r="F51">
        <f t="shared" si="4"/>
        <v>11369</v>
      </c>
      <c r="G51">
        <f t="shared" si="5"/>
        <v>-2.6291500005754642E-2</v>
      </c>
      <c r="I51">
        <f>+G51</f>
        <v>-2.6291500005754642E-2</v>
      </c>
      <c r="O51">
        <f t="shared" ca="1" si="11"/>
        <v>-2.5497509244197521E-2</v>
      </c>
      <c r="P51" s="38">
        <f t="shared" si="7"/>
        <v>-2.419445259556537E-2</v>
      </c>
      <c r="Q51" s="2">
        <f t="shared" si="8"/>
        <v>41498.025999999998</v>
      </c>
      <c r="R51" s="29">
        <f t="shared" si="9"/>
        <v>4.3976078405815352E-6</v>
      </c>
      <c r="S51" s="41">
        <v>0.2</v>
      </c>
      <c r="T51" s="29">
        <f t="shared" si="10"/>
        <v>8.7952156811630705E-7</v>
      </c>
      <c r="U51" s="40"/>
      <c r="W51" t="s">
        <v>184</v>
      </c>
      <c r="X51">
        <v>7.5894214428556123E-4</v>
      </c>
    </row>
    <row r="52" spans="1:31" ht="13.5" thickBot="1" x14ac:dyDescent="0.25">
      <c r="A52" s="48" t="s">
        <v>54</v>
      </c>
      <c r="B52" s="44" t="s">
        <v>42</v>
      </c>
      <c r="C52" s="27">
        <v>56526.8681</v>
      </c>
      <c r="D52" s="27">
        <v>2.9999999999999997E-4</v>
      </c>
      <c r="E52" s="25">
        <f t="shared" si="3"/>
        <v>11401.419565552145</v>
      </c>
      <c r="F52">
        <f t="shared" si="4"/>
        <v>11401.5</v>
      </c>
      <c r="G52">
        <f t="shared" si="5"/>
        <v>-2.5594000006094575E-2</v>
      </c>
      <c r="L52">
        <f>+G52</f>
        <v>-2.5594000006094575E-2</v>
      </c>
      <c r="O52">
        <f t="shared" ca="1" si="11"/>
        <v>-2.5620771127058833E-2</v>
      </c>
      <c r="P52" s="38">
        <f t="shared" si="7"/>
        <v>-2.4289775925053436E-2</v>
      </c>
      <c r="Q52" s="2">
        <f t="shared" si="8"/>
        <v>41508.3681</v>
      </c>
      <c r="R52" s="29">
        <f t="shared" si="9"/>
        <v>1.7010004535676029E-6</v>
      </c>
      <c r="S52" s="41">
        <v>1</v>
      </c>
      <c r="T52" s="29">
        <f t="shared" si="10"/>
        <v>1.7010004535676029E-6</v>
      </c>
      <c r="U52" s="40"/>
      <c r="W52" s="54" t="s">
        <v>185</v>
      </c>
      <c r="X52" s="54">
        <v>7</v>
      </c>
    </row>
    <row r="53" spans="1:31" x14ac:dyDescent="0.2">
      <c r="A53" s="48" t="s">
        <v>54</v>
      </c>
      <c r="B53" s="49" t="s">
        <v>40</v>
      </c>
      <c r="C53" s="27">
        <v>56535.936399999999</v>
      </c>
      <c r="D53" s="27">
        <v>2.0000000000000001E-4</v>
      </c>
      <c r="E53" s="25">
        <f t="shared" ref="E53:E76" si="13">+(C53-C$7)/C$8</f>
        <v>11429.918577170731</v>
      </c>
      <c r="F53">
        <f t="shared" ref="F53:F84" si="14">ROUND(2*E53,0)/2</f>
        <v>11430</v>
      </c>
      <c r="G53">
        <f t="shared" ref="G53:G84" si="15">+C53-(C$7+F53*C$8)</f>
        <v>-2.5908500007062685E-2</v>
      </c>
      <c r="L53">
        <f>+G53</f>
        <v>-2.5908500007062685E-2</v>
      </c>
      <c r="O53">
        <f t="shared" ca="1" si="11"/>
        <v>-2.5728862316644899E-2</v>
      </c>
      <c r="P53" s="38">
        <f t="shared" ref="P53:P76" si="16">+D$11+D$12*F53+D$13*F53^2</f>
        <v>-2.4373449135610622E-2</v>
      </c>
      <c r="Q53" s="2">
        <f t="shared" ref="Q53:Q76" si="17">+C53-15018.5</f>
        <v>41517.436399999999</v>
      </c>
      <c r="R53" s="29">
        <f t="shared" ref="R53:R76" si="18">+(P53-G53)^2</f>
        <v>2.3563811779457379E-6</v>
      </c>
      <c r="S53" s="41">
        <v>1</v>
      </c>
      <c r="T53" s="29">
        <f t="shared" ref="T53:T84" si="19">+S53*R53</f>
        <v>2.3563811779457379E-6</v>
      </c>
      <c r="U53" s="40"/>
    </row>
    <row r="54" spans="1:31" ht="13.5" thickBot="1" x14ac:dyDescent="0.25">
      <c r="A54" s="48" t="s">
        <v>54</v>
      </c>
      <c r="B54" s="44" t="s">
        <v>42</v>
      </c>
      <c r="C54" s="27">
        <v>56560.914499999999</v>
      </c>
      <c r="D54" s="27">
        <v>2.0000000000000001E-4</v>
      </c>
      <c r="E54" s="25">
        <f t="shared" si="13"/>
        <v>11508.417431653961</v>
      </c>
      <c r="F54">
        <f t="shared" si="14"/>
        <v>11508.5</v>
      </c>
      <c r="G54">
        <f t="shared" si="15"/>
        <v>-2.627300000312971E-2</v>
      </c>
      <c r="L54">
        <f>+G54</f>
        <v>-2.627300000312971E-2</v>
      </c>
      <c r="O54">
        <f t="shared" ca="1" si="11"/>
        <v>-2.6026587172171444E-2</v>
      </c>
      <c r="P54" s="38">
        <f t="shared" si="16"/>
        <v>-2.4604313551086679E-2</v>
      </c>
      <c r="Q54" s="2">
        <f t="shared" si="17"/>
        <v>41542.414499999999</v>
      </c>
      <c r="R54" s="29">
        <f t="shared" si="18"/>
        <v>2.7845144752319573E-6</v>
      </c>
      <c r="S54" s="41">
        <v>1</v>
      </c>
      <c r="T54" s="29">
        <f t="shared" si="19"/>
        <v>2.7845144752319573E-6</v>
      </c>
      <c r="U54" s="40"/>
      <c r="W54" t="s">
        <v>186</v>
      </c>
    </row>
    <row r="55" spans="1:31" x14ac:dyDescent="0.2">
      <c r="A55" s="48" t="s">
        <v>54</v>
      </c>
      <c r="B55" s="44" t="s">
        <v>42</v>
      </c>
      <c r="C55" s="27">
        <v>56579.688499999997</v>
      </c>
      <c r="D55" s="27">
        <v>2.0000000000000001E-4</v>
      </c>
      <c r="E55" s="25">
        <f t="shared" si="13"/>
        <v>11567.418616454564</v>
      </c>
      <c r="F55">
        <f t="shared" si="14"/>
        <v>11567.5</v>
      </c>
      <c r="G55">
        <f t="shared" si="15"/>
        <v>-2.5896000006468967E-2</v>
      </c>
      <c r="L55">
        <f>+G55</f>
        <v>-2.5896000006468967E-2</v>
      </c>
      <c r="O55">
        <f t="shared" ca="1" si="11"/>
        <v>-2.6250354897981203E-2</v>
      </c>
      <c r="P55" s="38">
        <f t="shared" si="16"/>
        <v>-2.4778212045690792E-2</v>
      </c>
      <c r="Q55" s="2">
        <f t="shared" si="17"/>
        <v>41561.188499999997</v>
      </c>
      <c r="R55" s="29">
        <f t="shared" si="18"/>
        <v>1.2494499252606293E-6</v>
      </c>
      <c r="S55" s="41">
        <v>1</v>
      </c>
      <c r="T55" s="29">
        <f t="shared" si="19"/>
        <v>1.2494499252606293E-6</v>
      </c>
      <c r="U55" s="40"/>
      <c r="W55" s="88"/>
      <c r="X55" s="88" t="s">
        <v>191</v>
      </c>
      <c r="Y55" s="88" t="s">
        <v>192</v>
      </c>
      <c r="Z55" s="88" t="s">
        <v>193</v>
      </c>
      <c r="AA55" s="88" t="s">
        <v>73</v>
      </c>
      <c r="AB55" s="88" t="s">
        <v>194</v>
      </c>
    </row>
    <row r="56" spans="1:31" x14ac:dyDescent="0.2">
      <c r="A56" s="48" t="s">
        <v>54</v>
      </c>
      <c r="B56" s="44" t="s">
        <v>40</v>
      </c>
      <c r="C56" s="27">
        <v>56579.847500000003</v>
      </c>
      <c r="D56" s="27">
        <v>2.0000000000000001E-4</v>
      </c>
      <c r="E56" s="25">
        <f t="shared" si="13"/>
        <v>11567.918306897927</v>
      </c>
      <c r="F56">
        <f t="shared" si="14"/>
        <v>11568</v>
      </c>
      <c r="G56">
        <f t="shared" si="15"/>
        <v>-2.5994499999796972E-2</v>
      </c>
      <c r="L56">
        <f>+G56</f>
        <v>-2.5994499999796972E-2</v>
      </c>
      <c r="O56">
        <f t="shared" ca="1" si="11"/>
        <v>-2.6252251234640606E-2</v>
      </c>
      <c r="P56" s="38">
        <f t="shared" si="16"/>
        <v>-2.4779687164679754E-2</v>
      </c>
      <c r="Q56" s="2">
        <f t="shared" si="17"/>
        <v>41561.347500000003</v>
      </c>
      <c r="R56" s="29">
        <f t="shared" si="18"/>
        <v>1.4757702243655321E-6</v>
      </c>
      <c r="S56" s="41">
        <v>1</v>
      </c>
      <c r="T56" s="29">
        <f t="shared" si="19"/>
        <v>1.4757702243655321E-6</v>
      </c>
      <c r="U56" s="40"/>
      <c r="W56" t="s">
        <v>187</v>
      </c>
      <c r="X56">
        <v>1</v>
      </c>
      <c r="Y56">
        <v>2.1731106667116211E-4</v>
      </c>
      <c r="Z56">
        <v>2.1731106667116211E-4</v>
      </c>
      <c r="AA56">
        <v>377.28062558845937</v>
      </c>
      <c r="AB56">
        <v>6.6740221675362282E-6</v>
      </c>
    </row>
    <row r="57" spans="1:31" x14ac:dyDescent="0.2">
      <c r="A57" s="108" t="s">
        <v>55</v>
      </c>
      <c r="B57" s="109" t="s">
        <v>40</v>
      </c>
      <c r="C57" s="110">
        <v>56630.281000000003</v>
      </c>
      <c r="D57" s="47">
        <v>2.5000000000000001E-3</v>
      </c>
      <c r="E57" s="25">
        <f t="shared" si="13"/>
        <v>11726.416030006565</v>
      </c>
      <c r="F57">
        <f t="shared" si="14"/>
        <v>11726.5</v>
      </c>
      <c r="G57">
        <f t="shared" si="15"/>
        <v>-2.6719000001321547E-2</v>
      </c>
      <c r="J57">
        <f>+G57</f>
        <v>-2.6719000001321547E-2</v>
      </c>
      <c r="O57">
        <f t="shared" ca="1" si="11"/>
        <v>-2.6853389955671911E-2</v>
      </c>
      <c r="P57" s="38">
        <f t="shared" si="16"/>
        <v>-2.5248488321686982E-2</v>
      </c>
      <c r="Q57" s="2">
        <f t="shared" si="17"/>
        <v>41611.781000000003</v>
      </c>
      <c r="R57" s="29">
        <f t="shared" si="18"/>
        <v>2.1624045999416687E-6</v>
      </c>
      <c r="S57" s="41">
        <v>0.1</v>
      </c>
      <c r="T57" s="29">
        <f t="shared" si="19"/>
        <v>2.1624045999416687E-7</v>
      </c>
      <c r="U57" s="40"/>
      <c r="W57" t="s">
        <v>188</v>
      </c>
      <c r="X57">
        <v>5</v>
      </c>
      <c r="Y57">
        <v>2.8799658918638283E-6</v>
      </c>
      <c r="Z57">
        <v>5.7599317837276565E-7</v>
      </c>
    </row>
    <row r="58" spans="1:31" ht="13.5" thickBot="1" x14ac:dyDescent="0.25">
      <c r="A58" s="108" t="s">
        <v>55</v>
      </c>
      <c r="B58" s="109" t="s">
        <v>40</v>
      </c>
      <c r="C58" s="110">
        <v>56630.440600000002</v>
      </c>
      <c r="D58" s="47">
        <v>1.8E-3</v>
      </c>
      <c r="E58" s="25">
        <f t="shared" si="13"/>
        <v>11726.917606074217</v>
      </c>
      <c r="F58">
        <f t="shared" si="14"/>
        <v>11727</v>
      </c>
      <c r="G58">
        <f t="shared" si="15"/>
        <v>-2.6217500002530869E-2</v>
      </c>
      <c r="J58">
        <f>+G58</f>
        <v>-2.6217500002530869E-2</v>
      </c>
      <c r="O58">
        <f t="shared" ca="1" si="11"/>
        <v>-2.6855286292331314E-2</v>
      </c>
      <c r="P58" s="38">
        <f t="shared" si="16"/>
        <v>-2.5249970938704375E-2</v>
      </c>
      <c r="Q58" s="2">
        <f t="shared" si="17"/>
        <v>41611.940600000002</v>
      </c>
      <c r="R58" s="29">
        <f t="shared" si="18"/>
        <v>9.3611248934897272E-7</v>
      </c>
      <c r="S58" s="41">
        <v>0.3</v>
      </c>
      <c r="T58" s="29">
        <f t="shared" si="19"/>
        <v>2.8083374680469183E-7</v>
      </c>
      <c r="U58" s="40"/>
      <c r="W58" s="54" t="s">
        <v>189</v>
      </c>
      <c r="X58" s="54">
        <v>6</v>
      </c>
      <c r="Y58" s="54">
        <v>2.2019103256302593E-4</v>
      </c>
      <c r="Z58" s="54"/>
      <c r="AA58" s="54"/>
      <c r="AB58" s="54"/>
    </row>
    <row r="59" spans="1:31" ht="13.5" thickBot="1" x14ac:dyDescent="0.25">
      <c r="A59" s="48" t="s">
        <v>66</v>
      </c>
      <c r="B59" s="51"/>
      <c r="C59" s="27">
        <v>56928.746099999997</v>
      </c>
      <c r="D59" s="27">
        <v>2.0000000000000001E-4</v>
      </c>
      <c r="E59" s="25">
        <f t="shared" si="13"/>
        <v>12664.404445987841</v>
      </c>
      <c r="F59">
        <f t="shared" si="14"/>
        <v>12664.5</v>
      </c>
      <c r="G59">
        <f t="shared" si="15"/>
        <v>-3.0405000004975591E-2</v>
      </c>
      <c r="L59">
        <f>+G59</f>
        <v>-3.0405000004975591E-2</v>
      </c>
      <c r="O59">
        <f t="shared" ca="1" si="11"/>
        <v>-3.0410917528715196E-2</v>
      </c>
      <c r="P59" s="38">
        <f t="shared" si="16"/>
        <v>-2.8071346895088691E-2</v>
      </c>
      <c r="Q59" s="2">
        <f t="shared" si="17"/>
        <v>41910.246099999997</v>
      </c>
      <c r="R59" s="29">
        <f t="shared" si="18"/>
        <v>5.4459368372847982E-6</v>
      </c>
      <c r="S59" s="41">
        <v>1</v>
      </c>
      <c r="T59" s="29">
        <f t="shared" si="19"/>
        <v>5.4459368372847982E-6</v>
      </c>
      <c r="U59" s="40"/>
    </row>
    <row r="60" spans="1:31" x14ac:dyDescent="0.2">
      <c r="A60" s="81" t="s">
        <v>0</v>
      </c>
      <c r="B60" s="82" t="s">
        <v>42</v>
      </c>
      <c r="C60" s="81">
        <v>56949.109800000209</v>
      </c>
      <c r="D60" s="81" t="s">
        <v>76</v>
      </c>
      <c r="E60" s="25">
        <f t="shared" si="13"/>
        <v>12728.401592410381</v>
      </c>
      <c r="F60">
        <f t="shared" si="14"/>
        <v>12728.5</v>
      </c>
      <c r="G60">
        <f t="shared" si="15"/>
        <v>-3.1312999795773067E-2</v>
      </c>
      <c r="K60">
        <f t="shared" ref="K60:K66" si="20">+G60</f>
        <v>-3.1312999795773067E-2</v>
      </c>
      <c r="O60">
        <f t="shared" ca="1" si="11"/>
        <v>-3.0653648621118999E-2</v>
      </c>
      <c r="P60" s="38">
        <f t="shared" si="16"/>
        <v>-2.8266975428494347E-2</v>
      </c>
      <c r="Q60" s="2">
        <f t="shared" si="17"/>
        <v>41930.609800000209</v>
      </c>
      <c r="R60" s="29">
        <f t="shared" si="18"/>
        <v>9.278264446055721E-6</v>
      </c>
      <c r="S60" s="41">
        <v>1</v>
      </c>
      <c r="T60" s="29">
        <f t="shared" si="19"/>
        <v>9.278264446055721E-6</v>
      </c>
      <c r="U60" s="40"/>
      <c r="W60" s="88"/>
      <c r="X60" s="88" t="s">
        <v>195</v>
      </c>
      <c r="Y60" s="88" t="s">
        <v>184</v>
      </c>
      <c r="Z60" s="88" t="s">
        <v>196</v>
      </c>
      <c r="AA60" s="88" t="s">
        <v>197</v>
      </c>
      <c r="AB60" s="88" t="s">
        <v>198</v>
      </c>
      <c r="AC60" s="88" t="s">
        <v>199</v>
      </c>
      <c r="AD60" s="88" t="s">
        <v>200</v>
      </c>
      <c r="AE60" s="88" t="s">
        <v>201</v>
      </c>
    </row>
    <row r="61" spans="1:31" x14ac:dyDescent="0.2">
      <c r="A61" s="81" t="s">
        <v>0</v>
      </c>
      <c r="B61" s="82" t="s">
        <v>40</v>
      </c>
      <c r="C61" s="81">
        <v>56949.27</v>
      </c>
      <c r="D61" s="81" t="s">
        <v>76</v>
      </c>
      <c r="E61" s="25">
        <f t="shared" si="13"/>
        <v>12728.905054101682</v>
      </c>
      <c r="F61">
        <f t="shared" si="14"/>
        <v>12729</v>
      </c>
      <c r="G61">
        <f t="shared" si="15"/>
        <v>-3.0211500008590519E-2</v>
      </c>
      <c r="K61">
        <f t="shared" si="20"/>
        <v>-3.0211500008590519E-2</v>
      </c>
      <c r="O61">
        <f t="shared" ca="1" si="11"/>
        <v>-3.0655544957778409E-2</v>
      </c>
      <c r="P61" s="38">
        <f t="shared" si="16"/>
        <v>-2.8268505297238105E-2</v>
      </c>
      <c r="Q61" s="2">
        <f t="shared" si="17"/>
        <v>41930.769999999997</v>
      </c>
      <c r="R61" s="29">
        <f t="shared" si="18"/>
        <v>3.7752284483434525E-6</v>
      </c>
      <c r="S61" s="41">
        <v>1</v>
      </c>
      <c r="T61" s="29">
        <f t="shared" si="19"/>
        <v>3.7752284483434525E-6</v>
      </c>
      <c r="U61" s="40"/>
      <c r="W61" t="s">
        <v>190</v>
      </c>
      <c r="X61">
        <v>-2.9173205066058598E-3</v>
      </c>
      <c r="Y61">
        <v>1.9701814952695039E-3</v>
      </c>
      <c r="Z61">
        <v>-1.4807369339375485</v>
      </c>
      <c r="AA61">
        <v>0.19875857015665346</v>
      </c>
      <c r="AB61">
        <v>-7.9818249956245691E-3</v>
      </c>
      <c r="AC61">
        <v>2.1471839824128494E-3</v>
      </c>
      <c r="AD61">
        <v>-7.9818249956245691E-3</v>
      </c>
      <c r="AE61">
        <v>2.1471839824128494E-3</v>
      </c>
    </row>
    <row r="62" spans="1:31" ht="13.5" thickBot="1" x14ac:dyDescent="0.25">
      <c r="A62" s="70" t="s">
        <v>65</v>
      </c>
      <c r="B62" s="71"/>
      <c r="C62" s="70">
        <v>56978.385000000002</v>
      </c>
      <c r="D62" s="70">
        <v>1.4E-3</v>
      </c>
      <c r="E62" s="25">
        <f t="shared" si="13"/>
        <v>12820.404973962666</v>
      </c>
      <c r="F62">
        <f t="shared" si="14"/>
        <v>12820.5</v>
      </c>
      <c r="G62">
        <f t="shared" si="15"/>
        <v>-3.0236999999033287E-2</v>
      </c>
      <c r="K62">
        <f t="shared" si="20"/>
        <v>-3.0236999999033287E-2</v>
      </c>
      <c r="O62">
        <f t="shared" ca="1" si="11"/>
        <v>-3.1002574566449472E-2</v>
      </c>
      <c r="P62" s="38">
        <f t="shared" si="16"/>
        <v>-2.8548868248435354E-2</v>
      </c>
      <c r="Q62" s="2">
        <f t="shared" si="17"/>
        <v>41959.885000000002</v>
      </c>
      <c r="R62" s="29">
        <f t="shared" si="18"/>
        <v>2.8497888073768437E-6</v>
      </c>
      <c r="S62" s="41">
        <v>0.5</v>
      </c>
      <c r="T62" s="29">
        <f t="shared" si="19"/>
        <v>1.4248944036884218E-6</v>
      </c>
      <c r="U62" s="40"/>
      <c r="W62" s="54" t="s">
        <v>202</v>
      </c>
      <c r="X62" s="54">
        <v>-2.3547566947403768E-6</v>
      </c>
      <c r="Y62" s="54">
        <v>1.2123102818853691E-7</v>
      </c>
      <c r="Z62" s="54">
        <v>-19.423712971222926</v>
      </c>
      <c r="AA62" s="54">
        <v>6.6740221675364916E-6</v>
      </c>
      <c r="AB62" s="54">
        <v>-2.6663904644937632E-6</v>
      </c>
      <c r="AC62" s="54">
        <v>-2.0431229249869904E-6</v>
      </c>
      <c r="AD62" s="54">
        <v>-2.6663904644937632E-6</v>
      </c>
      <c r="AE62" s="54">
        <v>-2.0431229249869904E-6</v>
      </c>
    </row>
    <row r="63" spans="1:31" ht="13.5" thickBot="1" x14ac:dyDescent="0.25">
      <c r="A63" s="122" t="s">
        <v>65</v>
      </c>
      <c r="B63" s="123"/>
      <c r="C63" s="122">
        <v>56978.542699999998</v>
      </c>
      <c r="D63" s="122">
        <v>1.5E-3</v>
      </c>
      <c r="E63" s="25">
        <f t="shared" si="13"/>
        <v>12820.900578886647</v>
      </c>
      <c r="F63">
        <f t="shared" si="14"/>
        <v>12821</v>
      </c>
      <c r="G63">
        <f t="shared" si="15"/>
        <v>-3.1635500003176276E-2</v>
      </c>
      <c r="K63">
        <f t="shared" si="20"/>
        <v>-3.1635500003176276E-2</v>
      </c>
      <c r="O63">
        <f t="shared" ca="1" si="11"/>
        <v>-3.1004470903108875E-2</v>
      </c>
      <c r="P63" s="38">
        <f t="shared" si="16"/>
        <v>-2.8550402455660966E-2</v>
      </c>
      <c r="Q63" s="2">
        <f t="shared" si="17"/>
        <v>41960.042699999998</v>
      </c>
      <c r="R63" s="29">
        <f t="shared" si="18"/>
        <v>9.5178268776849758E-6</v>
      </c>
      <c r="S63" s="41">
        <v>0.5</v>
      </c>
      <c r="T63" s="29">
        <f t="shared" si="19"/>
        <v>4.7589134388424879E-6</v>
      </c>
      <c r="U63" s="40"/>
    </row>
    <row r="64" spans="1:31" x14ac:dyDescent="0.2">
      <c r="A64" s="78" t="s">
        <v>1</v>
      </c>
      <c r="B64" s="79" t="s">
        <v>40</v>
      </c>
      <c r="C64" s="80">
        <v>57329.351699999999</v>
      </c>
      <c r="D64" s="80">
        <v>1.9E-3</v>
      </c>
      <c r="E64" s="25">
        <f t="shared" si="13"/>
        <v>13923.390545793944</v>
      </c>
      <c r="F64">
        <f t="shared" si="14"/>
        <v>13923.5</v>
      </c>
      <c r="G64">
        <f t="shared" si="15"/>
        <v>-3.4828000003471971E-2</v>
      </c>
      <c r="K64">
        <f t="shared" si="20"/>
        <v>-3.4828000003471971E-2</v>
      </c>
      <c r="O64">
        <f t="shared" ca="1" si="11"/>
        <v>-3.5185893237096325E-2</v>
      </c>
      <c r="P64" s="38">
        <f t="shared" si="16"/>
        <v>-3.1990675512121369E-2</v>
      </c>
      <c r="Q64" s="2">
        <f t="shared" si="17"/>
        <v>42310.851699999999</v>
      </c>
      <c r="R64" s="29">
        <f t="shared" si="18"/>
        <v>8.0504102692179474E-6</v>
      </c>
      <c r="S64" s="41">
        <v>0.2</v>
      </c>
      <c r="T64" s="29">
        <f t="shared" si="19"/>
        <v>1.6100820538435896E-6</v>
      </c>
      <c r="U64" s="40"/>
    </row>
    <row r="65" spans="1:21" x14ac:dyDescent="0.2">
      <c r="A65" s="78" t="s">
        <v>1</v>
      </c>
      <c r="B65" s="79" t="s">
        <v>40</v>
      </c>
      <c r="C65" s="80">
        <v>57329.5101</v>
      </c>
      <c r="D65" s="80">
        <v>1.4E-3</v>
      </c>
      <c r="E65" s="25">
        <f t="shared" si="13"/>
        <v>13923.888350612971</v>
      </c>
      <c r="F65">
        <f t="shared" si="14"/>
        <v>13924</v>
      </c>
      <c r="G65">
        <f t="shared" si="15"/>
        <v>-3.5526500003470574E-2</v>
      </c>
      <c r="K65">
        <f t="shared" si="20"/>
        <v>-3.5526500003470574E-2</v>
      </c>
      <c r="O65">
        <f t="shared" ca="1" si="11"/>
        <v>-3.5187789573755721E-2</v>
      </c>
      <c r="P65" s="38">
        <f t="shared" si="16"/>
        <v>-3.1992261733971905E-2</v>
      </c>
      <c r="Q65" s="2">
        <f t="shared" si="17"/>
        <v>42311.0101</v>
      </c>
      <c r="R65" s="29">
        <f t="shared" si="18"/>
        <v>1.2490840145588943E-5</v>
      </c>
      <c r="S65" s="41">
        <v>0.5</v>
      </c>
      <c r="T65" s="29">
        <f t="shared" si="19"/>
        <v>6.2454200727944715E-6</v>
      </c>
      <c r="U65" s="40"/>
    </row>
    <row r="66" spans="1:21" x14ac:dyDescent="0.2">
      <c r="A66" s="78" t="s">
        <v>1</v>
      </c>
      <c r="B66" s="79" t="s">
        <v>40</v>
      </c>
      <c r="C66" s="80">
        <v>57329.669099999999</v>
      </c>
      <c r="D66" s="80">
        <v>3.2000000000000002E-3</v>
      </c>
      <c r="E66" s="25">
        <f t="shared" si="13"/>
        <v>13924.388041056312</v>
      </c>
      <c r="F66">
        <f t="shared" si="14"/>
        <v>13924.5</v>
      </c>
      <c r="G66">
        <f t="shared" si="15"/>
        <v>-3.5625000004074536E-2</v>
      </c>
      <c r="K66">
        <f t="shared" si="20"/>
        <v>-3.5625000004074536E-2</v>
      </c>
      <c r="O66">
        <f t="shared" ca="1" si="11"/>
        <v>-3.518968591041513E-2</v>
      </c>
      <c r="P66" s="38">
        <f t="shared" si="16"/>
        <v>-3.1993847979401149E-2</v>
      </c>
      <c r="Q66" s="2">
        <f t="shared" si="17"/>
        <v>42311.169099999999</v>
      </c>
      <c r="R66" s="29">
        <f t="shared" si="18"/>
        <v>1.3185265026289638E-5</v>
      </c>
      <c r="S66" s="41">
        <v>0.1</v>
      </c>
      <c r="T66" s="29">
        <f t="shared" si="19"/>
        <v>1.3185265026289638E-6</v>
      </c>
      <c r="U66" s="40"/>
    </row>
    <row r="67" spans="1:21" x14ac:dyDescent="0.2">
      <c r="A67" s="72" t="s">
        <v>2</v>
      </c>
      <c r="B67" s="73" t="s">
        <v>40</v>
      </c>
      <c r="C67" s="74">
        <v>57758.275999999998</v>
      </c>
      <c r="D67" s="75">
        <v>4.0000000000000001E-3</v>
      </c>
      <c r="E67" s="25">
        <f t="shared" si="13"/>
        <v>15271.374027724945</v>
      </c>
      <c r="F67">
        <f t="shared" si="14"/>
        <v>15271.5</v>
      </c>
      <c r="G67">
        <f t="shared" si="15"/>
        <v>-4.0084000007482246E-2</v>
      </c>
      <c r="J67">
        <f>+G67</f>
        <v>-4.0084000007482246E-2</v>
      </c>
      <c r="O67">
        <f t="shared" ca="1" si="11"/>
        <v>-4.0298416870851492E-2</v>
      </c>
      <c r="P67" s="38">
        <f t="shared" si="16"/>
        <v>-3.6352787758212449E-2</v>
      </c>
      <c r="Q67" s="2">
        <f t="shared" si="17"/>
        <v>42739.775999999998</v>
      </c>
      <c r="R67" s="29">
        <f t="shared" si="18"/>
        <v>1.3921944849100977E-5</v>
      </c>
      <c r="S67" s="41">
        <v>0.1</v>
      </c>
      <c r="T67" s="29">
        <f t="shared" si="19"/>
        <v>1.3921944849100978E-6</v>
      </c>
      <c r="U67" s="40"/>
    </row>
    <row r="68" spans="1:21" x14ac:dyDescent="0.2">
      <c r="A68" s="77" t="s">
        <v>176</v>
      </c>
      <c r="C68" s="76">
        <v>58098.586000000003</v>
      </c>
      <c r="D68" s="10">
        <v>2.9999999999999997E-4</v>
      </c>
      <c r="E68" s="25">
        <f t="shared" si="13"/>
        <v>16340.868711835747</v>
      </c>
      <c r="F68">
        <f t="shared" si="14"/>
        <v>16341</v>
      </c>
      <c r="G68">
        <f t="shared" si="15"/>
        <v>-4.1775500001676846E-2</v>
      </c>
      <c r="L68">
        <f>+G68</f>
        <v>-4.1775500001676846E-2</v>
      </c>
      <c r="P68" s="38">
        <f t="shared" si="16"/>
        <v>-3.9935603512933238E-2</v>
      </c>
      <c r="Q68" s="2">
        <f t="shared" si="17"/>
        <v>43080.086000000003</v>
      </c>
      <c r="R68" s="29">
        <f t="shared" si="18"/>
        <v>3.3852190892910599E-6</v>
      </c>
      <c r="S68" s="41">
        <v>1</v>
      </c>
      <c r="T68" s="29">
        <f t="shared" si="19"/>
        <v>3.3852190892910599E-6</v>
      </c>
      <c r="U68" s="40"/>
    </row>
    <row r="69" spans="1:21" x14ac:dyDescent="0.2">
      <c r="A69" s="124" t="s">
        <v>277</v>
      </c>
      <c r="B69" s="125" t="s">
        <v>42</v>
      </c>
      <c r="C69" s="126">
        <v>58380.506170000001</v>
      </c>
      <c r="D69" s="126">
        <v>5.0000000000000002E-5</v>
      </c>
      <c r="E69" s="25">
        <f t="shared" si="13"/>
        <v>17226.861257334283</v>
      </c>
      <c r="F69">
        <f t="shared" si="14"/>
        <v>17227</v>
      </c>
      <c r="G69">
        <f t="shared" si="15"/>
        <v>-4.4147500004328322E-2</v>
      </c>
      <c r="K69">
        <f>+G69</f>
        <v>-4.4147500004328322E-2</v>
      </c>
      <c r="P69" s="38">
        <f t="shared" si="16"/>
        <v>-4.2985399511894909E-2</v>
      </c>
      <c r="Q69" s="2">
        <f t="shared" si="17"/>
        <v>43362.006170000001</v>
      </c>
      <c r="R69" s="29">
        <f t="shared" si="18"/>
        <v>1.3504775545139804E-6</v>
      </c>
      <c r="S69" s="41">
        <v>1</v>
      </c>
      <c r="T69" s="29">
        <f t="shared" si="19"/>
        <v>1.3504775545139804E-6</v>
      </c>
    </row>
    <row r="70" spans="1:21" x14ac:dyDescent="0.2">
      <c r="A70" s="127" t="s">
        <v>277</v>
      </c>
      <c r="B70" s="128" t="s">
        <v>42</v>
      </c>
      <c r="C70" s="129">
        <v>58380.506170000001</v>
      </c>
      <c r="D70" s="129">
        <v>5.0000000000000002E-5</v>
      </c>
      <c r="E70" s="25">
        <f t="shared" si="13"/>
        <v>17226.861257334283</v>
      </c>
      <c r="F70">
        <f t="shared" si="14"/>
        <v>17227</v>
      </c>
      <c r="G70">
        <f t="shared" si="15"/>
        <v>-4.4147500004328322E-2</v>
      </c>
      <c r="K70">
        <f>+G70</f>
        <v>-4.4147500004328322E-2</v>
      </c>
      <c r="P70" s="38">
        <f t="shared" si="16"/>
        <v>-4.2985399511894909E-2</v>
      </c>
      <c r="Q70" s="2">
        <f t="shared" si="17"/>
        <v>43362.006170000001</v>
      </c>
      <c r="R70" s="29">
        <f t="shared" si="18"/>
        <v>1.3504775545139804E-6</v>
      </c>
      <c r="S70" s="41">
        <v>1</v>
      </c>
      <c r="T70" s="29">
        <f t="shared" si="19"/>
        <v>1.3504775545139804E-6</v>
      </c>
    </row>
    <row r="71" spans="1:21" x14ac:dyDescent="0.2">
      <c r="A71" s="143" t="s">
        <v>282</v>
      </c>
      <c r="B71" s="87"/>
      <c r="C71" s="69">
        <v>59128.742201100002</v>
      </c>
      <c r="D71" s="69">
        <v>2E-3</v>
      </c>
      <c r="E71" s="25">
        <f t="shared" si="13"/>
        <v>19578.348012709102</v>
      </c>
      <c r="F71">
        <f t="shared" si="14"/>
        <v>19578.5</v>
      </c>
      <c r="G71">
        <f t="shared" si="15"/>
        <v>-4.8361900000600144E-2</v>
      </c>
      <c r="L71">
        <f>+G71</f>
        <v>-4.8361900000600144E-2</v>
      </c>
      <c r="P71" s="38">
        <f t="shared" si="16"/>
        <v>-5.1438759346592366E-2</v>
      </c>
      <c r="Q71" s="2">
        <f t="shared" si="17"/>
        <v>44110.242201100002</v>
      </c>
      <c r="R71" s="29">
        <f t="shared" si="18"/>
        <v>9.4670634350196859E-6</v>
      </c>
      <c r="S71" s="41">
        <v>0.1</v>
      </c>
      <c r="T71" s="29">
        <f t="shared" si="19"/>
        <v>9.4670634350196867E-7</v>
      </c>
    </row>
    <row r="72" spans="1:21" x14ac:dyDescent="0.2">
      <c r="A72" s="143" t="s">
        <v>282</v>
      </c>
      <c r="B72" s="87"/>
      <c r="C72" s="28">
        <v>59130.809600000001</v>
      </c>
      <c r="D72" s="42">
        <v>2.0000000000000001E-4</v>
      </c>
      <c r="E72" s="25">
        <f t="shared" si="13"/>
        <v>19584.845242098439</v>
      </c>
      <c r="F72">
        <f t="shared" si="14"/>
        <v>19585</v>
      </c>
      <c r="G72">
        <f t="shared" si="15"/>
        <v>-4.9243500005104579E-2</v>
      </c>
      <c r="L72">
        <f>+G72</f>
        <v>-4.9243500005104579E-2</v>
      </c>
      <c r="P72" s="38">
        <f t="shared" si="16"/>
        <v>-5.1462848846897509E-2</v>
      </c>
      <c r="Q72" s="2">
        <f t="shared" si="17"/>
        <v>44112.309600000001</v>
      </c>
      <c r="R72" s="29">
        <f t="shared" si="18"/>
        <v>4.9255092815676194E-6</v>
      </c>
      <c r="S72" s="41">
        <v>1</v>
      </c>
      <c r="T72" s="29">
        <f t="shared" si="19"/>
        <v>4.9255092815676194E-6</v>
      </c>
    </row>
    <row r="73" spans="1:21" x14ac:dyDescent="0.2">
      <c r="A73" s="130" t="s">
        <v>278</v>
      </c>
      <c r="B73" s="131" t="s">
        <v>42</v>
      </c>
      <c r="C73" s="132">
        <v>59172.3341</v>
      </c>
      <c r="D73" s="132" t="s">
        <v>279</v>
      </c>
      <c r="E73" s="25">
        <f t="shared" si="13"/>
        <v>19715.344586843989</v>
      </c>
      <c r="F73">
        <f t="shared" si="14"/>
        <v>19715.5</v>
      </c>
      <c r="G73">
        <f t="shared" si="15"/>
        <v>-4.9452000006567687E-2</v>
      </c>
      <c r="K73">
        <f>+G73</f>
        <v>-4.9452000006567687E-2</v>
      </c>
      <c r="P73" s="38">
        <f t="shared" si="16"/>
        <v>-5.1947334995267574E-2</v>
      </c>
      <c r="Q73" s="2">
        <f t="shared" si="17"/>
        <v>44153.8341</v>
      </c>
      <c r="R73" s="29">
        <f t="shared" si="18"/>
        <v>6.2266967058298689E-6</v>
      </c>
      <c r="S73" s="41">
        <v>1</v>
      </c>
      <c r="T73" s="29">
        <f t="shared" si="19"/>
        <v>6.2266967058298689E-6</v>
      </c>
    </row>
    <row r="74" spans="1:21" x14ac:dyDescent="0.2">
      <c r="A74" s="144" t="s">
        <v>283</v>
      </c>
      <c r="B74" s="145" t="s">
        <v>40</v>
      </c>
      <c r="C74" s="146">
        <v>59226.271499999799</v>
      </c>
      <c r="D74" s="10" t="s">
        <v>279</v>
      </c>
      <c r="E74" s="25">
        <f t="shared" si="13"/>
        <v>19884.85404167794</v>
      </c>
      <c r="F74">
        <f t="shared" si="14"/>
        <v>19885</v>
      </c>
      <c r="G74">
        <f t="shared" si="15"/>
        <v>-4.6443500206805766E-2</v>
      </c>
      <c r="K74">
        <f>+G74</f>
        <v>-4.6443500206805766E-2</v>
      </c>
      <c r="P74" s="38">
        <f t="shared" si="16"/>
        <v>-5.2579008061894951E-2</v>
      </c>
      <c r="Q74" s="2">
        <f t="shared" si="17"/>
        <v>44207.771499999799</v>
      </c>
      <c r="R74" s="29">
        <f t="shared" si="18"/>
        <v>3.7644456639861097E-5</v>
      </c>
      <c r="S74" s="41">
        <v>1</v>
      </c>
      <c r="T74" s="29">
        <f t="shared" si="19"/>
        <v>3.7644456639861097E-5</v>
      </c>
    </row>
    <row r="75" spans="1:21" x14ac:dyDescent="0.2">
      <c r="A75" s="5" t="s">
        <v>280</v>
      </c>
      <c r="C75" s="10">
        <v>59520.7572</v>
      </c>
      <c r="D75" s="10">
        <v>1E-4</v>
      </c>
      <c r="E75" s="25">
        <f t="shared" si="13"/>
        <v>20810.336368664684</v>
      </c>
      <c r="F75">
        <f t="shared" si="14"/>
        <v>20810.5</v>
      </c>
      <c r="G75">
        <f t="shared" si="15"/>
        <v>-5.2067000004171859E-2</v>
      </c>
      <c r="K75">
        <f>+G75</f>
        <v>-5.2067000004171859E-2</v>
      </c>
      <c r="P75" s="38">
        <f t="shared" si="16"/>
        <v>-5.6075845188115751E-2</v>
      </c>
      <c r="Q75" s="2">
        <f t="shared" si="17"/>
        <v>44502.2572</v>
      </c>
      <c r="R75" s="29">
        <f t="shared" si="18"/>
        <v>1.6070839708830135E-5</v>
      </c>
      <c r="S75" s="41">
        <v>1</v>
      </c>
      <c r="T75" s="29">
        <f t="shared" si="19"/>
        <v>1.6070839708830135E-5</v>
      </c>
    </row>
    <row r="76" spans="1:21" x14ac:dyDescent="0.2">
      <c r="A76" s="5" t="s">
        <v>280</v>
      </c>
      <c r="C76" s="28">
        <v>59560.690199999997</v>
      </c>
      <c r="D76" s="42">
        <v>2.9999999999999997E-4</v>
      </c>
      <c r="E76" s="25">
        <f t="shared" si="13"/>
        <v>20935.834094916023</v>
      </c>
      <c r="F76">
        <f t="shared" si="14"/>
        <v>20936</v>
      </c>
      <c r="G76">
        <f t="shared" si="15"/>
        <v>-5.2790500005357899E-2</v>
      </c>
      <c r="K76">
        <f>+G76</f>
        <v>-5.2790500005357899E-2</v>
      </c>
      <c r="P76" s="38">
        <f t="shared" si="16"/>
        <v>-5.6556244700900288E-2</v>
      </c>
      <c r="Q76" s="2">
        <f t="shared" si="17"/>
        <v>44542.190199999997</v>
      </c>
      <c r="R76" s="29">
        <f t="shared" si="18"/>
        <v>1.418083311200564E-5</v>
      </c>
      <c r="S76" s="41">
        <v>1</v>
      </c>
      <c r="T76" s="29">
        <f t="shared" si="19"/>
        <v>1.418083311200564E-5</v>
      </c>
    </row>
    <row r="77" spans="1:21" x14ac:dyDescent="0.2">
      <c r="C77" s="10"/>
      <c r="D77" s="10"/>
    </row>
    <row r="78" spans="1:21" x14ac:dyDescent="0.2">
      <c r="C78" s="10"/>
      <c r="D78" s="10"/>
    </row>
    <row r="79" spans="1:21" x14ac:dyDescent="0.2">
      <c r="C79" s="10"/>
      <c r="D79" s="10"/>
    </row>
    <row r="80" spans="1:21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rotectedRanges>
    <protectedRange sqref="A71:D73" name="Range1"/>
  </protectedRanges>
  <sortState xmlns:xlrd2="http://schemas.microsoft.com/office/spreadsheetml/2017/richdata2" ref="A21:T76">
    <sortCondition ref="C21:C76"/>
  </sortState>
  <phoneticPr fontId="8" type="noConversion"/>
  <hyperlinks>
    <hyperlink ref="H3299" r:id="rId1" display="http://vsolj.cetus-net.org/bulletin.html" xr:uid="{00000000-0004-0000-0000-000000000000}"/>
    <hyperlink ref="H64962" r:id="rId2" display="http://vsolj.cetus-net.org/bulletin.html" xr:uid="{00000000-0004-0000-0000-000001000000}"/>
    <hyperlink ref="H64955" r:id="rId3" display="https://www.aavso.org/ejaavso" xr:uid="{00000000-0004-0000-0000-000002000000}"/>
    <hyperlink ref="I64962" r:id="rId4" display="http://vsolj.cetus-net.org/bulletin.html" xr:uid="{00000000-0004-0000-0000-000003000000}"/>
    <hyperlink ref="AQ58613" r:id="rId5" display="http://cdsbib.u-strasbg.fr/cgi-bin/cdsbib?1990RMxAA..21..381G" xr:uid="{00000000-0004-0000-0000-000004000000}"/>
    <hyperlink ref="H64959" r:id="rId6" display="https://www.aavso.org/ejaavso" xr:uid="{00000000-0004-0000-0000-000005000000}"/>
    <hyperlink ref="AP5977" r:id="rId7" display="http://cdsbib.u-strasbg.fr/cgi-bin/cdsbib?1990RMxAA..21..381G" xr:uid="{00000000-0004-0000-0000-000006000000}"/>
    <hyperlink ref="AP5980" r:id="rId8" display="http://cdsbib.u-strasbg.fr/cgi-bin/cdsbib?1990RMxAA..21..381G" xr:uid="{00000000-0004-0000-0000-000007000000}"/>
    <hyperlink ref="AP5978" r:id="rId9" display="http://cdsbib.u-strasbg.fr/cgi-bin/cdsbib?1990RMxAA..21..381G" xr:uid="{00000000-0004-0000-0000-000008000000}"/>
    <hyperlink ref="AP5962" r:id="rId10" display="http://cdsbib.u-strasbg.fr/cgi-bin/cdsbib?1990RMxAA..21..381G" xr:uid="{00000000-0004-0000-0000-000009000000}"/>
    <hyperlink ref="AQ6191" r:id="rId11" display="http://cdsbib.u-strasbg.fr/cgi-bin/cdsbib?1990RMxAA..21..381G" xr:uid="{00000000-0004-0000-0000-00000A000000}"/>
    <hyperlink ref="AQ6195" r:id="rId12" display="http://cdsbib.u-strasbg.fr/cgi-bin/cdsbib?1990RMxAA..21..381G" xr:uid="{00000000-0004-0000-0000-00000B000000}"/>
    <hyperlink ref="AQ339" r:id="rId13" display="http://cdsbib.u-strasbg.fr/cgi-bin/cdsbib?1990RMxAA..21..381G" xr:uid="{00000000-0004-0000-0000-00000C000000}"/>
    <hyperlink ref="I3083" r:id="rId14" display="http://vsolj.cetus-net.org/bulletin.html" xr:uid="{00000000-0004-0000-0000-00000D000000}"/>
    <hyperlink ref="H3083" r:id="rId15" display="http://vsolj.cetus-net.org/bulletin.html" xr:uid="{00000000-0004-0000-0000-00000E000000}"/>
    <hyperlink ref="AQ1000" r:id="rId16" display="http://cdsbib.u-strasbg.fr/cgi-bin/cdsbib?1990RMxAA..21..381G" xr:uid="{00000000-0004-0000-0000-00000F000000}"/>
    <hyperlink ref="AQ999" r:id="rId17" display="http://cdsbib.u-strasbg.fr/cgi-bin/cdsbib?1990RMxAA..21..381G" xr:uid="{00000000-0004-0000-0000-000010000000}"/>
    <hyperlink ref="AP4253" r:id="rId18" display="http://cdsbib.u-strasbg.fr/cgi-bin/cdsbib?1990RMxAA..21..381G" xr:uid="{00000000-0004-0000-0000-000011000000}"/>
    <hyperlink ref="AP4271" r:id="rId19" display="http://cdsbib.u-strasbg.fr/cgi-bin/cdsbib?1990RMxAA..21..381G" xr:uid="{00000000-0004-0000-0000-000012000000}"/>
    <hyperlink ref="AP4272" r:id="rId20" display="http://cdsbib.u-strasbg.fr/cgi-bin/cdsbib?1990RMxAA..21..381G" xr:uid="{00000000-0004-0000-0000-000013000000}"/>
    <hyperlink ref="AP426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922"/>
  <sheetViews>
    <sheetView workbookViewId="0">
      <pane xSplit="13" ySplit="21" topLeftCell="N40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13" customWidth="1"/>
    <col min="5" max="5" width="10.85546875" customWidth="1"/>
    <col min="6" max="6" width="17.7109375" customWidth="1"/>
    <col min="7" max="7" width="11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53</v>
      </c>
      <c r="G1" s="53" t="s">
        <v>56</v>
      </c>
      <c r="R1" s="4" t="s">
        <v>12</v>
      </c>
      <c r="S1" s="4" t="s">
        <v>269</v>
      </c>
      <c r="T1" s="4" t="s">
        <v>12</v>
      </c>
      <c r="U1" s="4" t="s">
        <v>270</v>
      </c>
      <c r="V1" s="4" t="s">
        <v>12</v>
      </c>
      <c r="W1" s="6" t="s">
        <v>23</v>
      </c>
    </row>
    <row r="2" spans="1:23" x14ac:dyDescent="0.2">
      <c r="A2" t="s">
        <v>25</v>
      </c>
      <c r="B2" s="3" t="s">
        <v>34</v>
      </c>
      <c r="C2" s="3"/>
      <c r="D2" s="3" t="s">
        <v>33</v>
      </c>
      <c r="G2" t="s">
        <v>64</v>
      </c>
      <c r="R2">
        <v>10000</v>
      </c>
      <c r="S2">
        <f t="shared" ref="S2:S8" ca="1" si="0">C$11+C$12*R2</f>
        <v>-2.030533947074736E-2</v>
      </c>
      <c r="T2">
        <v>10000</v>
      </c>
      <c r="V2" s="29">
        <v>-5000</v>
      </c>
      <c r="W2" s="29">
        <f t="shared" ref="W2:W26" si="1">+D$11+D$12*V2+D$13*V2^2</f>
        <v>1.115560172742263E-2</v>
      </c>
    </row>
    <row r="3" spans="1:23" ht="13.5" thickBot="1" x14ac:dyDescent="0.25">
      <c r="G3" s="4" t="s">
        <v>57</v>
      </c>
      <c r="H3" s="4" t="s">
        <v>58</v>
      </c>
      <c r="I3" s="4" t="s">
        <v>59</v>
      </c>
      <c r="J3" s="4" t="s">
        <v>60</v>
      </c>
      <c r="K3" s="4" t="s">
        <v>61</v>
      </c>
      <c r="L3" s="54" t="s">
        <v>62</v>
      </c>
      <c r="M3" s="4" t="s">
        <v>63</v>
      </c>
      <c r="R3">
        <v>11000</v>
      </c>
      <c r="S3">
        <f t="shared" ca="1" si="0"/>
        <v>-2.4098012789556828E-2</v>
      </c>
      <c r="T3">
        <v>11000</v>
      </c>
      <c r="V3" s="29">
        <v>-4000</v>
      </c>
      <c r="W3" s="29">
        <f t="shared" si="1"/>
        <v>9.7207907479228677E-3</v>
      </c>
    </row>
    <row r="4" spans="1:23" ht="14.25" thickTop="1" thickBot="1" x14ac:dyDescent="0.25">
      <c r="A4" s="5" t="s">
        <v>3</v>
      </c>
      <c r="C4" s="8">
        <v>52898.811500000003</v>
      </c>
      <c r="D4" s="9">
        <v>0.31819700000000001</v>
      </c>
      <c r="E4" s="24" t="s">
        <v>225</v>
      </c>
      <c r="G4">
        <v>2011</v>
      </c>
      <c r="H4" s="3">
        <v>9</v>
      </c>
      <c r="I4" s="3">
        <v>12</v>
      </c>
      <c r="J4" s="51">
        <f>DATE(G4,H4,I4)+15018.5-J$8/24+J$12/24</f>
        <v>55816.5</v>
      </c>
      <c r="K4">
        <f>INT((J4-C$7)/C$8)</f>
        <v>9168</v>
      </c>
      <c r="L4">
        <f>+C$7+C$8*K4+D$11+D$12*K4+D$13*K4^2</f>
        <v>55816.182723813887</v>
      </c>
      <c r="M4">
        <f>+C$8+D$12+2*D$13*K4</f>
        <v>0.31819427609401879</v>
      </c>
      <c r="R4">
        <v>12000</v>
      </c>
      <c r="S4">
        <f t="shared" ca="1" si="0"/>
        <v>-2.7890686108366303E-2</v>
      </c>
      <c r="T4">
        <v>12000</v>
      </c>
      <c r="V4" s="29">
        <v>-3000</v>
      </c>
      <c r="W4" s="29">
        <f t="shared" si="1"/>
        <v>8.1916649453507573E-3</v>
      </c>
    </row>
    <row r="5" spans="1:23" ht="13.5" thickTop="1" x14ac:dyDescent="0.2">
      <c r="A5" s="11" t="s">
        <v>27</v>
      </c>
      <c r="B5" s="85"/>
      <c r="C5" s="13">
        <v>7</v>
      </c>
      <c r="D5" s="12" t="s">
        <v>28</v>
      </c>
      <c r="G5">
        <v>2013</v>
      </c>
      <c r="H5" s="3">
        <v>9</v>
      </c>
      <c r="I5" s="3">
        <v>8</v>
      </c>
      <c r="J5" s="51">
        <f>DATE(G5,H5,I5)+15018.5-J$8/24+J$12/24</f>
        <v>56543.5</v>
      </c>
      <c r="K5">
        <f>INT((J5-C$7)/C$8)</f>
        <v>11453</v>
      </c>
      <c r="L5">
        <f>+C$7+C$8*K5+D$11+D$12*K5+D$13*K5^2</f>
        <v>56543.256398469261</v>
      </c>
      <c r="M5">
        <f>+C$8+D$12+2*D$13*K5</f>
        <v>0.31819406058464805</v>
      </c>
      <c r="R5">
        <v>13000</v>
      </c>
      <c r="S5">
        <f t="shared" ca="1" si="0"/>
        <v>-3.1683359427175775E-2</v>
      </c>
      <c r="T5">
        <v>13000</v>
      </c>
      <c r="V5" s="29">
        <v>-2000</v>
      </c>
      <c r="W5" s="29">
        <f t="shared" si="1"/>
        <v>6.5682243197062954E-3</v>
      </c>
    </row>
    <row r="6" spans="1:23" x14ac:dyDescent="0.2">
      <c r="A6" s="5" t="s">
        <v>4</v>
      </c>
      <c r="G6">
        <v>2014</v>
      </c>
      <c r="H6" s="3">
        <v>9</v>
      </c>
      <c r="I6" s="3">
        <v>10</v>
      </c>
      <c r="J6" s="51">
        <f>DATE(G6,H6,I6)+15018.5-J$8/24+J$12/24</f>
        <v>56910.5</v>
      </c>
      <c r="K6">
        <f>INT((J6-C$7)/C$8)</f>
        <v>12607</v>
      </c>
      <c r="L6">
        <f>+C$7+C$8*K6+D$11+D$12*K6+D$13*K6^2</f>
        <v>56910.452281583668</v>
      </c>
      <c r="M6">
        <f>+C$8+D$12+2*D$13*K6</f>
        <v>0.31819395174534221</v>
      </c>
      <c r="R6">
        <v>14000</v>
      </c>
      <c r="S6">
        <f t="shared" ca="1" si="0"/>
        <v>-3.5476032745985236E-2</v>
      </c>
      <c r="T6">
        <v>14000</v>
      </c>
      <c r="U6">
        <f t="shared" ref="U6:U13" si="2">H$11+H$12*T6</f>
        <v>-3.6509612055548493E-2</v>
      </c>
      <c r="V6" s="29">
        <v>-1000</v>
      </c>
      <c r="W6" s="29">
        <f t="shared" si="1"/>
        <v>4.8504688709894847E-3</v>
      </c>
    </row>
    <row r="7" spans="1:23" x14ac:dyDescent="0.2">
      <c r="A7" t="s">
        <v>5</v>
      </c>
      <c r="C7">
        <f>D7+C8/2</f>
        <v>52898.970598500004</v>
      </c>
      <c r="D7">
        <v>52898.811500000003</v>
      </c>
      <c r="E7">
        <v>52898.970600000001</v>
      </c>
      <c r="G7">
        <v>2015</v>
      </c>
      <c r="H7" s="3">
        <v>10</v>
      </c>
      <c r="I7" s="3">
        <v>1</v>
      </c>
      <c r="J7" s="51">
        <f>DATE(G7,H7,I7)+15018.5-J$8/24+J$12/24</f>
        <v>57296.5</v>
      </c>
      <c r="K7">
        <f>INT((J7-C$7)/C$8)</f>
        <v>13820</v>
      </c>
      <c r="L7">
        <f>+C$7+C$8*K7+D$11+D$12*K7+D$13*K7^2</f>
        <v>57296.421475664807</v>
      </c>
      <c r="M7">
        <f>+C$8+D$12+2*D$13*K7</f>
        <v>0.31819383734146184</v>
      </c>
      <c r="R7">
        <v>15000</v>
      </c>
      <c r="S7">
        <f t="shared" ca="1" si="0"/>
        <v>-3.9268706064794712E-2</v>
      </c>
      <c r="T7">
        <v>15000</v>
      </c>
      <c r="U7">
        <f t="shared" si="2"/>
        <v>-3.8682608796444744E-2</v>
      </c>
      <c r="V7" s="29">
        <v>0</v>
      </c>
      <c r="W7" s="29">
        <f t="shared" si="1"/>
        <v>3.038398599200326E-3</v>
      </c>
    </row>
    <row r="8" spans="1:23" ht="13.5" thickBot="1" x14ac:dyDescent="0.25">
      <c r="A8" t="s">
        <v>6</v>
      </c>
      <c r="C8">
        <v>0.31819700000000001</v>
      </c>
      <c r="D8" s="24"/>
      <c r="R8">
        <v>16000</v>
      </c>
      <c r="S8">
        <f t="shared" ca="1" si="0"/>
        <v>-4.3061379383604187E-2</v>
      </c>
      <c r="T8">
        <v>16000</v>
      </c>
      <c r="U8">
        <f t="shared" si="2"/>
        <v>-4.0855605537341001E-2</v>
      </c>
      <c r="V8" s="29">
        <v>1000</v>
      </c>
      <c r="W8" s="29">
        <f t="shared" si="1"/>
        <v>1.1320135043388173E-3</v>
      </c>
    </row>
    <row r="9" spans="1:23" x14ac:dyDescent="0.2">
      <c r="A9" s="22" t="s">
        <v>32</v>
      </c>
      <c r="B9" s="23">
        <v>48</v>
      </c>
      <c r="C9" s="20" t="str">
        <f>"F"&amp;B9</f>
        <v>F48</v>
      </c>
      <c r="D9" s="21" t="str">
        <f>"G"&amp;B9</f>
        <v>G48</v>
      </c>
      <c r="F9" s="115" t="s">
        <v>275</v>
      </c>
      <c r="G9" s="56" t="s">
        <v>274</v>
      </c>
      <c r="H9" s="116" t="s">
        <v>276</v>
      </c>
      <c r="T9">
        <v>17000</v>
      </c>
      <c r="U9">
        <f t="shared" si="2"/>
        <v>-4.3028602278237252E-2</v>
      </c>
      <c r="V9" s="29">
        <v>2000</v>
      </c>
      <c r="W9" s="29">
        <f t="shared" si="1"/>
        <v>-8.6868641359504051E-4</v>
      </c>
    </row>
    <row r="10" spans="1:23" ht="13.5" thickBot="1" x14ac:dyDescent="0.25">
      <c r="A10" s="12"/>
      <c r="B10" s="85"/>
      <c r="C10" s="4" t="s">
        <v>21</v>
      </c>
      <c r="D10" s="4" t="s">
        <v>22</v>
      </c>
      <c r="E10" s="12"/>
      <c r="G10" s="61" t="s">
        <v>269</v>
      </c>
      <c r="H10" s="117" t="s">
        <v>270</v>
      </c>
      <c r="I10" s="3" t="s">
        <v>281</v>
      </c>
      <c r="T10">
        <v>18000</v>
      </c>
      <c r="U10">
        <f t="shared" si="2"/>
        <v>-4.5201599019133502E-2</v>
      </c>
      <c r="V10" s="29">
        <v>3000</v>
      </c>
      <c r="W10" s="29">
        <f t="shared" si="1"/>
        <v>-2.9637011546012472E-3</v>
      </c>
    </row>
    <row r="11" spans="1:23" x14ac:dyDescent="0.2">
      <c r="A11" s="12" t="s">
        <v>17</v>
      </c>
      <c r="B11" s="85"/>
      <c r="C11" s="19">
        <f ca="1">INTERCEPT(INDIRECT($D$9):INDIRECT($D$14),INDIRECT($C$9):INDIRECT($C$14))</f>
        <v>1.7621393717347351E-2</v>
      </c>
      <c r="D11" s="3">
        <f>+E11*F11</f>
        <v>3.038398599200326E-3</v>
      </c>
      <c r="E11" s="30">
        <v>3.038398599200326E-3</v>
      </c>
      <c r="F11">
        <v>1</v>
      </c>
      <c r="G11" s="118">
        <v>1.7621393717347052E-2</v>
      </c>
      <c r="H11" s="119">
        <v>-6.0876576830009577E-3</v>
      </c>
      <c r="I11" s="21">
        <f>INTERCEPT(G64:G82,F64:F82)</f>
        <v>-3.9339588158921537E-3</v>
      </c>
      <c r="T11">
        <v>19000</v>
      </c>
      <c r="U11">
        <f t="shared" si="2"/>
        <v>-4.737459576002976E-2</v>
      </c>
      <c r="V11" s="29">
        <v>4000</v>
      </c>
      <c r="W11" s="29">
        <f t="shared" si="1"/>
        <v>-5.1530307186798043E-3</v>
      </c>
    </row>
    <row r="12" spans="1:23" ht="13.5" thickBot="1" x14ac:dyDescent="0.25">
      <c r="A12" s="12" t="s">
        <v>18</v>
      </c>
      <c r="B12" s="85"/>
      <c r="C12" s="19">
        <f ca="1">SLOPE(INDIRECT($D$9):INDIRECT($D$14),INDIRECT($C$9):INDIRECT($C$14))</f>
        <v>-3.792673318809471E-6</v>
      </c>
      <c r="D12" s="3">
        <f>+E12*F12</f>
        <v>-1.859227683325334E-6</v>
      </c>
      <c r="E12" s="31">
        <v>-1.8592276833253339E-2</v>
      </c>
      <c r="F12" s="32">
        <v>1E-4</v>
      </c>
      <c r="G12" s="120">
        <v>-3.7926733188094464E-6</v>
      </c>
      <c r="H12" s="121">
        <v>-2.1729967408962526E-6</v>
      </c>
      <c r="I12" s="21">
        <f>SLOPE(G64:G82,F64:F82)</f>
        <v>-2.2918906395510505E-6</v>
      </c>
      <c r="T12">
        <v>20000</v>
      </c>
      <c r="U12">
        <f t="shared" si="2"/>
        <v>-4.954759250092601E-2</v>
      </c>
      <c r="V12" s="29">
        <v>5000</v>
      </c>
      <c r="W12" s="29">
        <f t="shared" si="1"/>
        <v>-7.436675105830709E-3</v>
      </c>
    </row>
    <row r="13" spans="1:23" ht="13.5" thickBot="1" x14ac:dyDescent="0.25">
      <c r="A13" s="12" t="s">
        <v>20</v>
      </c>
      <c r="B13" s="85"/>
      <c r="C13" s="3" t="s">
        <v>15</v>
      </c>
      <c r="D13" s="3">
        <f>+E13*F13</f>
        <v>-4.7157411536174622E-11</v>
      </c>
      <c r="E13" s="33">
        <v>-4.7157411536174624E-3</v>
      </c>
      <c r="F13" s="32">
        <v>1E-8</v>
      </c>
      <c r="T13">
        <v>21000</v>
      </c>
      <c r="U13">
        <f t="shared" si="2"/>
        <v>-5.1720589241822261E-2</v>
      </c>
      <c r="V13" s="29">
        <v>6000</v>
      </c>
      <c r="W13" s="29">
        <f t="shared" si="1"/>
        <v>-9.8146343160539634E-3</v>
      </c>
    </row>
    <row r="14" spans="1:23" ht="13.5" thickBot="1" x14ac:dyDescent="0.25">
      <c r="A14" s="16" t="s">
        <v>268</v>
      </c>
      <c r="B14" s="114">
        <v>67</v>
      </c>
      <c r="C14" s="20" t="str">
        <f>"F"&amp;B14</f>
        <v>F67</v>
      </c>
      <c r="D14" s="21" t="str">
        <f>"G"&amp;B14</f>
        <v>G67</v>
      </c>
      <c r="E14">
        <f>SUM(T21:T943)</f>
        <v>2.3950769873582503E-4</v>
      </c>
      <c r="V14" s="29">
        <v>7000</v>
      </c>
      <c r="W14" s="29">
        <f t="shared" si="1"/>
        <v>-1.2286908349349569E-2</v>
      </c>
    </row>
    <row r="15" spans="1:23" x14ac:dyDescent="0.2">
      <c r="A15" s="14" t="s">
        <v>19</v>
      </c>
      <c r="B15" s="85"/>
      <c r="C15" s="15">
        <f ca="1">($C7+C11)+($C8+C12)*INT(MAX($E21:$E3504))</f>
        <v>59560.363015277791</v>
      </c>
      <c r="D15" s="21">
        <f>+C7+INT(MAX(F21:F1581))*C8+D11+D12*INT(MAX(F21:F4016))+D13*INT(MAX(F21:F4043)^2)</f>
        <v>59560.686434255302</v>
      </c>
      <c r="E15" s="135" t="s">
        <v>35</v>
      </c>
      <c r="F15" s="136">
        <v>1</v>
      </c>
      <c r="G15" s="15">
        <f>($C7+G11)+($C8+G12)*INT(MAX($E21:$E3504))</f>
        <v>59560.363015277791</v>
      </c>
      <c r="H15" s="15">
        <f>($C7+H11)+($C8+H12)*INT(MAX($E21:$E3504))</f>
        <v>59560.373214155552</v>
      </c>
      <c r="I15" s="15">
        <f>($C7+I11)+($C8+I12)*INT(MAX($E21:$E3504))</f>
        <v>59560.372878810645</v>
      </c>
      <c r="J15">
        <v>0.31819482700325902</v>
      </c>
      <c r="V15" s="29">
        <v>8000</v>
      </c>
      <c r="W15" s="29">
        <f t="shared" si="1"/>
        <v>-1.4853497205717521E-2</v>
      </c>
    </row>
    <row r="16" spans="1:23" x14ac:dyDescent="0.2">
      <c r="A16" s="17" t="s">
        <v>7</v>
      </c>
      <c r="B16" s="85"/>
      <c r="C16" s="18">
        <f ca="1">+$C8+C12</f>
        <v>0.31819320732668122</v>
      </c>
      <c r="D16" s="21">
        <f>+C8+D12+2*D13*MAX(F21:F889)</f>
        <v>0.31819316619718085</v>
      </c>
      <c r="E16" s="137" t="s">
        <v>29</v>
      </c>
      <c r="F16" s="138">
        <f ca="1">NOW()+15018.5+$C$5/24</f>
        <v>59947.378641666663</v>
      </c>
      <c r="G16" s="18">
        <f>+$C8+G12</f>
        <v>0.31819320732668122</v>
      </c>
      <c r="H16" s="18">
        <f>+$C8+H12</f>
        <v>0.31819482700325913</v>
      </c>
      <c r="I16" s="18">
        <f>+$C8+I12</f>
        <v>0.31819470810936046</v>
      </c>
      <c r="V16" s="29">
        <v>9000</v>
      </c>
      <c r="W16" s="29">
        <f t="shared" si="1"/>
        <v>-1.7514400885157825E-2</v>
      </c>
    </row>
    <row r="17" spans="1:23" ht="13.5" thickBot="1" x14ac:dyDescent="0.25">
      <c r="A17" s="16" t="s">
        <v>26</v>
      </c>
      <c r="B17" s="85"/>
      <c r="C17" s="12">
        <f>COUNT(C21:C2173)</f>
        <v>56</v>
      </c>
      <c r="E17" s="137" t="s">
        <v>36</v>
      </c>
      <c r="F17" s="138">
        <f ca="1">ROUND(2*(F16-$C$7)/$C$8,0)/2+F15</f>
        <v>22152</v>
      </c>
      <c r="V17" s="29">
        <v>10000</v>
      </c>
      <c r="W17" s="29">
        <f t="shared" si="1"/>
        <v>-2.0269619387670475E-2</v>
      </c>
    </row>
    <row r="18" spans="1:23" ht="14.25" thickTop="1" thickBot="1" x14ac:dyDescent="0.25">
      <c r="A18" s="5" t="s">
        <v>44</v>
      </c>
      <c r="C18" s="34">
        <f ca="1">+C15</f>
        <v>59560.363015277791</v>
      </c>
      <c r="D18" s="133">
        <f ca="1">C16</f>
        <v>0.31819320732668122</v>
      </c>
      <c r="E18" s="137" t="s">
        <v>30</v>
      </c>
      <c r="F18" s="139">
        <f ca="1">ROUND(2*(F16-$C$15)/$C$16,0)/2+F15</f>
        <v>1217.5</v>
      </c>
      <c r="I18" s="35">
        <f>I15</f>
        <v>59560.372878810645</v>
      </c>
      <c r="J18" s="142">
        <f>I16</f>
        <v>0.31819470810936046</v>
      </c>
      <c r="K18" t="s">
        <v>270</v>
      </c>
      <c r="V18" s="29">
        <v>11000</v>
      </c>
      <c r="W18" s="29">
        <f t="shared" si="1"/>
        <v>-2.3119152713255479E-2</v>
      </c>
    </row>
    <row r="19" spans="1:23" ht="13.5" thickBot="1" x14ac:dyDescent="0.25">
      <c r="A19" s="5" t="s">
        <v>45</v>
      </c>
      <c r="C19" s="35">
        <f>+D15</f>
        <v>59560.686434255302</v>
      </c>
      <c r="D19" s="134">
        <f>+D16</f>
        <v>0.31819316619718085</v>
      </c>
      <c r="E19" s="140" t="s">
        <v>31</v>
      </c>
      <c r="F19" s="141">
        <f ca="1">+$C$15+$C$16*F18-15018.5-$C$5/24</f>
        <v>44928.97157853136</v>
      </c>
      <c r="V19" s="29">
        <v>12000</v>
      </c>
      <c r="W19" s="29">
        <f t="shared" si="1"/>
        <v>-2.6063000861912825E-2</v>
      </c>
    </row>
    <row r="20" spans="1:23" ht="1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74</v>
      </c>
      <c r="I20" s="7" t="s">
        <v>77</v>
      </c>
      <c r="J20" s="7" t="s">
        <v>71</v>
      </c>
      <c r="K20" s="7" t="s">
        <v>69</v>
      </c>
      <c r="L20" s="7" t="s">
        <v>178</v>
      </c>
      <c r="M20" s="7" t="s">
        <v>173</v>
      </c>
      <c r="N20" s="7" t="s">
        <v>174</v>
      </c>
      <c r="O20" s="7" t="s">
        <v>24</v>
      </c>
      <c r="P20" s="36" t="s">
        <v>23</v>
      </c>
      <c r="Q20" s="4" t="s">
        <v>16</v>
      </c>
      <c r="R20" s="7" t="s">
        <v>46</v>
      </c>
      <c r="S20" s="6" t="s">
        <v>47</v>
      </c>
      <c r="T20" s="7" t="s">
        <v>48</v>
      </c>
      <c r="U20" s="37" t="s">
        <v>49</v>
      </c>
      <c r="V20" s="29">
        <v>13000</v>
      </c>
      <c r="W20" s="29">
        <f t="shared" si="1"/>
        <v>-2.9101163833642526E-2</v>
      </c>
    </row>
    <row r="21" spans="1:23" x14ac:dyDescent="0.2">
      <c r="A21" s="26" t="s">
        <v>38</v>
      </c>
      <c r="B21" s="86"/>
      <c r="C21" s="10">
        <v>51479.656600000002</v>
      </c>
      <c r="D21" s="27" t="s">
        <v>15</v>
      </c>
      <c r="E21" s="25">
        <f t="shared" ref="E21:E52" si="3">+(C21-C$7)/C$8</f>
        <v>-4460.488309129255</v>
      </c>
      <c r="F21">
        <f t="shared" ref="F21:F52" si="4">ROUND(2*E21,0)/2</f>
        <v>-4460.5</v>
      </c>
      <c r="G21">
        <f t="shared" ref="G21:G52" si="5">+C21-(C$7+F21*C$8)</f>
        <v>3.7200000006123446E-3</v>
      </c>
      <c r="K21">
        <f t="shared" ref="K21:K30" si="6">+G21</f>
        <v>3.7200000006123446E-3</v>
      </c>
      <c r="P21" s="38">
        <f t="shared" ref="P21:P52" si="7">+D$11+D$12*F21+D$13*F21^2</f>
        <v>1.0393236979515202E-2</v>
      </c>
      <c r="Q21" s="39">
        <f t="shared" ref="Q21:Q52" si="8">+C21-15018.5</f>
        <v>36461.156600000002</v>
      </c>
      <c r="R21" s="29">
        <f t="shared" ref="R21:R52" si="9">+(P21-G21)^2</f>
        <v>4.4532091776596529E-5</v>
      </c>
      <c r="S21" s="41">
        <v>0.5</v>
      </c>
      <c r="T21" s="29">
        <f t="shared" ref="T21:T52" si="10">+S21*R21</f>
        <v>2.2266045888298264E-5</v>
      </c>
      <c r="U21" s="40"/>
      <c r="V21" s="29">
        <v>14000</v>
      </c>
      <c r="W21" s="29">
        <f t="shared" si="1"/>
        <v>-3.2233641628444575E-2</v>
      </c>
    </row>
    <row r="22" spans="1:23" x14ac:dyDescent="0.2">
      <c r="A22" s="26" t="s">
        <v>37</v>
      </c>
      <c r="B22" s="86"/>
      <c r="C22" s="27">
        <v>52898.811500000003</v>
      </c>
      <c r="D22" s="27" t="s">
        <v>15</v>
      </c>
      <c r="E22">
        <f t="shared" si="3"/>
        <v>-0.50000000000080047</v>
      </c>
      <c r="F22">
        <f t="shared" si="4"/>
        <v>-0.5</v>
      </c>
      <c r="G22">
        <f t="shared" si="5"/>
        <v>0</v>
      </c>
      <c r="K22">
        <f t="shared" si="6"/>
        <v>0</v>
      </c>
      <c r="P22" s="38">
        <f t="shared" si="7"/>
        <v>3.0393282012526356E-3</v>
      </c>
      <c r="Q22" s="2">
        <f t="shared" si="8"/>
        <v>37880.311500000003</v>
      </c>
      <c r="R22" s="29">
        <f t="shared" si="9"/>
        <v>9.2375159149295822E-6</v>
      </c>
      <c r="S22" s="41">
        <v>1</v>
      </c>
      <c r="T22" s="29">
        <f t="shared" si="10"/>
        <v>9.2375159149295822E-6</v>
      </c>
      <c r="U22" s="40"/>
      <c r="V22" s="29">
        <v>15000</v>
      </c>
      <c r="W22" s="29">
        <f t="shared" si="1"/>
        <v>-3.5460434246318971E-2</v>
      </c>
    </row>
    <row r="23" spans="1:23" x14ac:dyDescent="0.2">
      <c r="A23" s="42" t="s">
        <v>39</v>
      </c>
      <c r="B23" s="43" t="s">
        <v>40</v>
      </c>
      <c r="C23" s="42">
        <v>54049.407800000001</v>
      </c>
      <c r="D23" s="42">
        <v>2.5000000000000001E-3</v>
      </c>
      <c r="E23" s="25">
        <f t="shared" si="3"/>
        <v>3615.4872657504538</v>
      </c>
      <c r="F23">
        <f t="shared" si="4"/>
        <v>3615.5</v>
      </c>
      <c r="G23">
        <f t="shared" si="5"/>
        <v>-4.0520000038668513E-3</v>
      </c>
      <c r="K23">
        <f t="shared" si="6"/>
        <v>-4.0520000038668513E-3</v>
      </c>
      <c r="P23" s="38">
        <f t="shared" si="7"/>
        <v>-4.3000732400668013E-3</v>
      </c>
      <c r="Q23" s="2">
        <f t="shared" si="8"/>
        <v>39030.907800000001</v>
      </c>
      <c r="R23" s="29">
        <f t="shared" si="9"/>
        <v>6.1540330518716147E-8</v>
      </c>
      <c r="S23" s="41">
        <v>0.1</v>
      </c>
      <c r="T23" s="29">
        <f t="shared" si="10"/>
        <v>6.1540330518716151E-9</v>
      </c>
      <c r="U23" s="40"/>
      <c r="V23" s="29">
        <v>16000</v>
      </c>
      <c r="W23" s="29">
        <f t="shared" si="1"/>
        <v>-3.8781541687265719E-2</v>
      </c>
    </row>
    <row r="24" spans="1:23" x14ac:dyDescent="0.2">
      <c r="A24" s="83" t="s">
        <v>177</v>
      </c>
      <c r="B24" s="3" t="s">
        <v>42</v>
      </c>
      <c r="C24" s="10">
        <v>54062.457999999999</v>
      </c>
      <c r="D24" s="10">
        <v>2.5000000000000001E-3</v>
      </c>
      <c r="E24" s="25">
        <f t="shared" si="3"/>
        <v>3656.5002231321951</v>
      </c>
      <c r="F24">
        <f t="shared" si="4"/>
        <v>3656.5</v>
      </c>
      <c r="G24">
        <f t="shared" si="5"/>
        <v>7.099999493220821E-5</v>
      </c>
      <c r="K24">
        <f t="shared" si="6"/>
        <v>7.099999493220821E-5</v>
      </c>
      <c r="O24">
        <f t="shared" ref="O24:O67" ca="1" si="11">+C$11+C$12*$F24</f>
        <v>3.7534837271205202E-3</v>
      </c>
      <c r="P24" s="38">
        <f t="shared" si="7"/>
        <v>-4.3903616516474736E-3</v>
      </c>
      <c r="Q24" s="2">
        <f t="shared" si="8"/>
        <v>39043.957999999999</v>
      </c>
      <c r="R24" s="29">
        <f t="shared" si="9"/>
        <v>1.9903747741572171E-5</v>
      </c>
      <c r="S24" s="41">
        <v>0.1</v>
      </c>
      <c r="T24" s="29">
        <f t="shared" si="10"/>
        <v>1.9903747741572172E-6</v>
      </c>
      <c r="U24" s="40"/>
      <c r="V24" s="29">
        <v>17000</v>
      </c>
      <c r="W24" s="29">
        <f t="shared" si="1"/>
        <v>-4.2196963951284819E-2</v>
      </c>
    </row>
    <row r="25" spans="1:23" x14ac:dyDescent="0.2">
      <c r="A25" s="83" t="s">
        <v>177</v>
      </c>
      <c r="B25" s="3" t="s">
        <v>40</v>
      </c>
      <c r="C25" s="10">
        <v>54080.433299999997</v>
      </c>
      <c r="D25" s="10">
        <v>2.5999999999999999E-3</v>
      </c>
      <c r="E25" s="25">
        <f t="shared" si="3"/>
        <v>3712.9913276994857</v>
      </c>
      <c r="F25">
        <f t="shared" si="4"/>
        <v>3713</v>
      </c>
      <c r="G25">
        <f t="shared" si="5"/>
        <v>-2.7595000065048225E-3</v>
      </c>
      <c r="K25">
        <f t="shared" si="6"/>
        <v>-2.7595000065048225E-3</v>
      </c>
      <c r="O25">
        <f t="shared" ca="1" si="11"/>
        <v>3.5391976846077845E-3</v>
      </c>
      <c r="P25" s="38">
        <f t="shared" si="7"/>
        <v>-4.5150432655091995E-3</v>
      </c>
      <c r="Q25" s="2">
        <f t="shared" si="8"/>
        <v>39061.933299999997</v>
      </c>
      <c r="R25" s="29">
        <f t="shared" si="9"/>
        <v>3.0819321342357093E-6</v>
      </c>
      <c r="S25" s="41">
        <v>0.1</v>
      </c>
      <c r="T25" s="29">
        <f t="shared" si="10"/>
        <v>3.0819321342357097E-7</v>
      </c>
      <c r="U25" s="40"/>
      <c r="V25" s="29">
        <v>18000</v>
      </c>
      <c r="W25" s="29">
        <f t="shared" si="1"/>
        <v>-4.5706701038376263E-2</v>
      </c>
    </row>
    <row r="26" spans="1:23" x14ac:dyDescent="0.2">
      <c r="A26" s="83" t="s">
        <v>177</v>
      </c>
      <c r="B26" s="3" t="s">
        <v>40</v>
      </c>
      <c r="C26" s="10">
        <v>54081.387699999999</v>
      </c>
      <c r="D26" s="10">
        <v>3.8E-3</v>
      </c>
      <c r="E26" s="25">
        <f t="shared" si="3"/>
        <v>3715.9907274424195</v>
      </c>
      <c r="F26">
        <f t="shared" si="4"/>
        <v>3716</v>
      </c>
      <c r="G26">
        <f t="shared" si="5"/>
        <v>-2.9505000056815334E-3</v>
      </c>
      <c r="K26">
        <f t="shared" si="6"/>
        <v>-2.9505000056815334E-3</v>
      </c>
      <c r="O26">
        <f t="shared" ca="1" si="11"/>
        <v>3.5278196646513563E-3</v>
      </c>
      <c r="P26" s="38">
        <f t="shared" si="7"/>
        <v>-4.5216719457900813E-3</v>
      </c>
      <c r="Q26" s="2">
        <f t="shared" si="8"/>
        <v>39062.887699999999</v>
      </c>
      <c r="R26" s="29">
        <f t="shared" si="9"/>
        <v>2.4685812653844586E-6</v>
      </c>
      <c r="S26" s="41">
        <v>0.1</v>
      </c>
      <c r="T26" s="29">
        <f t="shared" si="10"/>
        <v>2.4685812653844588E-7</v>
      </c>
      <c r="U26" s="40"/>
      <c r="V26" s="29">
        <v>19000</v>
      </c>
      <c r="W26" s="29">
        <f t="shared" si="1"/>
        <v>-4.9310752948540058E-2</v>
      </c>
    </row>
    <row r="27" spans="1:23" x14ac:dyDescent="0.2">
      <c r="A27" s="83" t="s">
        <v>177</v>
      </c>
      <c r="B27" s="3" t="s">
        <v>40</v>
      </c>
      <c r="C27" s="10">
        <v>54083.2978</v>
      </c>
      <c r="D27" s="10">
        <v>2.0999999999999999E-3</v>
      </c>
      <c r="E27" s="25">
        <f t="shared" si="3"/>
        <v>3721.9936124476239</v>
      </c>
      <c r="F27">
        <f t="shared" si="4"/>
        <v>3722</v>
      </c>
      <c r="G27">
        <f t="shared" si="5"/>
        <v>-2.0325000004959293E-3</v>
      </c>
      <c r="K27">
        <f t="shared" si="6"/>
        <v>-2.0325000004959293E-3</v>
      </c>
      <c r="O27">
        <f t="shared" ca="1" si="11"/>
        <v>3.5050636247384998E-3</v>
      </c>
      <c r="P27" s="38">
        <f t="shared" si="7"/>
        <v>-4.5349318528520701E-3</v>
      </c>
      <c r="Q27" s="2">
        <f t="shared" si="8"/>
        <v>39064.7978</v>
      </c>
      <c r="R27" s="29">
        <f t="shared" si="9"/>
        <v>6.2621651756865858E-6</v>
      </c>
      <c r="S27" s="41">
        <v>0.2</v>
      </c>
      <c r="T27" s="29">
        <f t="shared" si="10"/>
        <v>1.2524330351373173E-6</v>
      </c>
      <c r="U27" s="40"/>
    </row>
    <row r="28" spans="1:23" x14ac:dyDescent="0.2">
      <c r="A28" s="83" t="s">
        <v>177</v>
      </c>
      <c r="B28" s="3" t="s">
        <v>42</v>
      </c>
      <c r="C28" s="10">
        <v>54083.458299999998</v>
      </c>
      <c r="D28" s="10">
        <v>1.6999999999999999E-3</v>
      </c>
      <c r="E28" s="25">
        <f t="shared" si="3"/>
        <v>3722.4980169517457</v>
      </c>
      <c r="F28">
        <f t="shared" si="4"/>
        <v>3722.5</v>
      </c>
      <c r="G28">
        <f t="shared" si="5"/>
        <v>-6.3100000261329114E-4</v>
      </c>
      <c r="K28">
        <f t="shared" si="6"/>
        <v>-6.3100000261329114E-4</v>
      </c>
      <c r="O28">
        <f t="shared" ca="1" si="11"/>
        <v>3.503167288079095E-3</v>
      </c>
      <c r="P28" s="38">
        <f t="shared" si="7"/>
        <v>-4.5360369983688236E-3</v>
      </c>
      <c r="Q28" s="2">
        <f t="shared" si="8"/>
        <v>39064.958299999998</v>
      </c>
      <c r="R28" s="29">
        <f t="shared" si="9"/>
        <v>1.5249313938219395E-5</v>
      </c>
      <c r="S28" s="41">
        <v>0.3</v>
      </c>
      <c r="T28" s="29">
        <f t="shared" si="10"/>
        <v>4.5747941814658188E-6</v>
      </c>
      <c r="U28" s="40"/>
    </row>
    <row r="29" spans="1:23" x14ac:dyDescent="0.2">
      <c r="A29" s="42" t="s">
        <v>39</v>
      </c>
      <c r="B29" s="43"/>
      <c r="C29" s="42">
        <v>54084.412700000001</v>
      </c>
      <c r="D29" s="42">
        <v>2.9999999999999997E-4</v>
      </c>
      <c r="E29" s="25">
        <f t="shared" si="3"/>
        <v>3725.4974166946799</v>
      </c>
      <c r="F29">
        <f t="shared" si="4"/>
        <v>3725.5</v>
      </c>
      <c r="G29">
        <f t="shared" si="5"/>
        <v>-8.2200000179000199E-4</v>
      </c>
      <c r="K29">
        <f t="shared" si="6"/>
        <v>-8.2200000179000199E-4</v>
      </c>
      <c r="O29">
        <f t="shared" ca="1" si="11"/>
        <v>3.4917892681226668E-3</v>
      </c>
      <c r="P29" s="38">
        <f t="shared" si="7"/>
        <v>-4.5426683666221646E-3</v>
      </c>
      <c r="Q29" s="2">
        <f t="shared" si="8"/>
        <v>39065.912700000001</v>
      </c>
      <c r="R29" s="29">
        <f t="shared" si="9"/>
        <v>1.3843373081062838E-5</v>
      </c>
      <c r="S29" s="41">
        <v>1</v>
      </c>
      <c r="T29" s="29">
        <f t="shared" si="10"/>
        <v>1.3843373081062838E-5</v>
      </c>
      <c r="U29" s="40"/>
    </row>
    <row r="30" spans="1:23" x14ac:dyDescent="0.2">
      <c r="A30" s="83" t="s">
        <v>177</v>
      </c>
      <c r="B30" s="3" t="s">
        <v>40</v>
      </c>
      <c r="C30" s="10">
        <v>54095.389300000003</v>
      </c>
      <c r="D30" s="10">
        <v>2E-3</v>
      </c>
      <c r="E30" s="25">
        <f t="shared" si="3"/>
        <v>3759.9936564455315</v>
      </c>
      <c r="F30">
        <f t="shared" si="4"/>
        <v>3760</v>
      </c>
      <c r="G30">
        <f t="shared" si="5"/>
        <v>-2.0185000030323863E-3</v>
      </c>
      <c r="K30">
        <f t="shared" si="6"/>
        <v>-2.0185000030323863E-3</v>
      </c>
      <c r="O30">
        <f t="shared" ca="1" si="11"/>
        <v>3.3609420386237401E-3</v>
      </c>
      <c r="P30" s="38">
        <f t="shared" si="7"/>
        <v>-4.6189901114367521E-3</v>
      </c>
      <c r="Q30" s="2">
        <f t="shared" si="8"/>
        <v>39076.889300000003</v>
      </c>
      <c r="R30" s="29">
        <f t="shared" si="9"/>
        <v>6.7625488039089504E-6</v>
      </c>
      <c r="S30" s="41">
        <v>0.2</v>
      </c>
      <c r="T30" s="29">
        <f t="shared" si="10"/>
        <v>1.3525097607817902E-6</v>
      </c>
      <c r="U30" s="40"/>
    </row>
    <row r="31" spans="1:23" x14ac:dyDescent="0.2">
      <c r="A31" s="42" t="s">
        <v>175</v>
      </c>
      <c r="B31" s="43" t="s">
        <v>40</v>
      </c>
      <c r="C31" s="28">
        <v>54507.298000000003</v>
      </c>
      <c r="D31" s="42">
        <v>0.01</v>
      </c>
      <c r="E31" s="25">
        <f t="shared" si="3"/>
        <v>5054.5020899002784</v>
      </c>
      <c r="F31">
        <f t="shared" si="4"/>
        <v>5054.5</v>
      </c>
      <c r="G31">
        <f t="shared" si="5"/>
        <v>6.6499999957159162E-4</v>
      </c>
      <c r="I31">
        <f>+G31</f>
        <v>6.6499999957159162E-4</v>
      </c>
      <c r="O31">
        <f t="shared" ca="1" si="11"/>
        <v>-1.5486735725751197E-3</v>
      </c>
      <c r="P31" s="38">
        <f t="shared" si="7"/>
        <v>-7.5638438731607718E-3</v>
      </c>
      <c r="Q31" s="2">
        <f t="shared" si="8"/>
        <v>39488.798000000003</v>
      </c>
      <c r="R31" s="29">
        <f t="shared" si="9"/>
        <v>6.7713871481804954E-5</v>
      </c>
      <c r="S31" s="41">
        <v>0.1</v>
      </c>
      <c r="T31" s="29">
        <f t="shared" si="10"/>
        <v>6.7713871481804956E-6</v>
      </c>
      <c r="U31" s="40"/>
    </row>
    <row r="32" spans="1:23" x14ac:dyDescent="0.2">
      <c r="A32" s="42" t="s">
        <v>175</v>
      </c>
      <c r="B32" s="43" t="s">
        <v>40</v>
      </c>
      <c r="C32" s="42">
        <v>54808.303999999996</v>
      </c>
      <c r="D32" s="42">
        <v>0.01</v>
      </c>
      <c r="E32" s="25">
        <f t="shared" si="3"/>
        <v>6000.4758105827295</v>
      </c>
      <c r="F32">
        <f t="shared" si="4"/>
        <v>6000.5</v>
      </c>
      <c r="G32">
        <f t="shared" si="5"/>
        <v>-7.6970000081928447E-3</v>
      </c>
      <c r="I32">
        <f>+G32</f>
        <v>-7.6970000081928447E-3</v>
      </c>
      <c r="O32">
        <f t="shared" ca="1" si="11"/>
        <v>-5.1365425321688793E-3</v>
      </c>
      <c r="P32" s="38">
        <f t="shared" si="7"/>
        <v>-9.8158468861541965E-3</v>
      </c>
      <c r="Q32" s="2">
        <f t="shared" si="8"/>
        <v>39789.803999999996</v>
      </c>
      <c r="R32" s="29">
        <f t="shared" si="9"/>
        <v>4.4895120922465673E-6</v>
      </c>
      <c r="S32" s="41">
        <v>0.1</v>
      </c>
      <c r="T32" s="29">
        <f t="shared" si="10"/>
        <v>4.4895120922465675E-7</v>
      </c>
      <c r="U32" s="40"/>
    </row>
    <row r="33" spans="1:24" x14ac:dyDescent="0.2">
      <c r="A33" s="42" t="s">
        <v>43</v>
      </c>
      <c r="B33" s="43" t="s">
        <v>40</v>
      </c>
      <c r="C33" s="42">
        <v>55080.362500000003</v>
      </c>
      <c r="D33" s="42">
        <v>2.9999999999999997E-4</v>
      </c>
      <c r="E33" s="25">
        <f t="shared" si="3"/>
        <v>6855.4760148587166</v>
      </c>
      <c r="F33">
        <f t="shared" si="4"/>
        <v>6855.5</v>
      </c>
      <c r="G33">
        <f t="shared" si="5"/>
        <v>-7.6320000007399358E-3</v>
      </c>
      <c r="K33">
        <f t="shared" ref="K33:K47" si="12">+G33</f>
        <v>-7.6320000007399358E-3</v>
      </c>
      <c r="O33">
        <f t="shared" ca="1" si="11"/>
        <v>-8.3792782197509783E-3</v>
      </c>
      <c r="P33" s="38">
        <f t="shared" si="7"/>
        <v>-1.1923835164113605E-2</v>
      </c>
      <c r="Q33" s="2">
        <f t="shared" si="8"/>
        <v>40061.862500000003</v>
      </c>
      <c r="R33" s="29">
        <f t="shared" si="9"/>
        <v>1.8419849069570692E-5</v>
      </c>
      <c r="S33" s="41">
        <v>1</v>
      </c>
      <c r="T33" s="29">
        <f t="shared" si="10"/>
        <v>1.8419849069570692E-5</v>
      </c>
      <c r="U33" s="40"/>
    </row>
    <row r="34" spans="1:24" x14ac:dyDescent="0.2">
      <c r="A34" s="42" t="s">
        <v>41</v>
      </c>
      <c r="B34" s="43" t="s">
        <v>40</v>
      </c>
      <c r="C34" s="42">
        <v>55080.518199999999</v>
      </c>
      <c r="D34" s="42">
        <v>1E-4</v>
      </c>
      <c r="E34" s="25">
        <f t="shared" si="3"/>
        <v>6855.9653343683158</v>
      </c>
      <c r="F34">
        <f t="shared" si="4"/>
        <v>6856</v>
      </c>
      <c r="G34">
        <f t="shared" si="5"/>
        <v>-1.1030500005290378E-2</v>
      </c>
      <c r="K34">
        <f t="shared" si="12"/>
        <v>-1.1030500005290378E-2</v>
      </c>
      <c r="O34">
        <f t="shared" ca="1" si="11"/>
        <v>-8.3811745564103812E-3</v>
      </c>
      <c r="P34" s="38">
        <f t="shared" si="7"/>
        <v>-1.1925088077379405E-2</v>
      </c>
      <c r="Q34" s="2">
        <f t="shared" si="8"/>
        <v>40062.018199999999</v>
      </c>
      <c r="R34" s="29">
        <f t="shared" si="9"/>
        <v>8.0028781872396293E-7</v>
      </c>
      <c r="S34" s="41">
        <v>1</v>
      </c>
      <c r="T34" s="29">
        <f t="shared" si="10"/>
        <v>8.0028781872396293E-7</v>
      </c>
      <c r="U34" s="40"/>
    </row>
    <row r="35" spans="1:24" x14ac:dyDescent="0.2">
      <c r="A35" s="42" t="s">
        <v>41</v>
      </c>
      <c r="B35" s="43" t="s">
        <v>40</v>
      </c>
      <c r="C35" s="42">
        <v>55103.427900000002</v>
      </c>
      <c r="D35" s="42">
        <v>2.9999999999999997E-4</v>
      </c>
      <c r="E35" s="25">
        <f t="shared" si="3"/>
        <v>6927.9638132980472</v>
      </c>
      <c r="F35">
        <f t="shared" si="4"/>
        <v>6928</v>
      </c>
      <c r="G35">
        <f t="shared" si="5"/>
        <v>-1.1514500001794659E-2</v>
      </c>
      <c r="K35">
        <f t="shared" si="12"/>
        <v>-1.1514500001794659E-2</v>
      </c>
      <c r="O35">
        <f t="shared" ca="1" si="11"/>
        <v>-8.6542470353646629E-3</v>
      </c>
      <c r="P35" s="38">
        <f t="shared" si="7"/>
        <v>-1.2105753749343083E-2</v>
      </c>
      <c r="Q35" s="2">
        <f t="shared" si="8"/>
        <v>40084.927900000002</v>
      </c>
      <c r="R35" s="29">
        <f t="shared" si="9"/>
        <v>3.4958099399005566E-7</v>
      </c>
      <c r="S35" s="41">
        <v>1</v>
      </c>
      <c r="T35" s="29">
        <f t="shared" si="10"/>
        <v>3.4958099399005566E-7</v>
      </c>
      <c r="U35" s="40"/>
    </row>
    <row r="36" spans="1:24" x14ac:dyDescent="0.2">
      <c r="A36" s="42" t="s">
        <v>41</v>
      </c>
      <c r="B36" s="43" t="s">
        <v>42</v>
      </c>
      <c r="C36" s="42">
        <v>55103.5887</v>
      </c>
      <c r="D36" s="42">
        <v>4.0000000000000002E-4</v>
      </c>
      <c r="E36" s="25">
        <f t="shared" si="3"/>
        <v>6928.4691606143251</v>
      </c>
      <c r="F36">
        <f t="shared" si="4"/>
        <v>6928.5</v>
      </c>
      <c r="G36">
        <f t="shared" si="5"/>
        <v>-9.8130000042147003E-3</v>
      </c>
      <c r="K36">
        <f t="shared" si="12"/>
        <v>-9.8130000042147003E-3</v>
      </c>
      <c r="O36">
        <f t="shared" ca="1" si="11"/>
        <v>-8.6561433720240694E-3</v>
      </c>
      <c r="P36" s="38">
        <f t="shared" si="7"/>
        <v>-1.2107010081521222E-2</v>
      </c>
      <c r="Q36" s="2">
        <f t="shared" si="8"/>
        <v>40085.0887</v>
      </c>
      <c r="R36" s="29">
        <f t="shared" si="9"/>
        <v>5.262482234783872E-6</v>
      </c>
      <c r="S36" s="41">
        <v>1</v>
      </c>
      <c r="T36" s="29">
        <f t="shared" si="10"/>
        <v>5.262482234783872E-6</v>
      </c>
      <c r="U36" s="40"/>
    </row>
    <row r="37" spans="1:24" x14ac:dyDescent="0.2">
      <c r="A37" s="42" t="s">
        <v>41</v>
      </c>
      <c r="B37" s="43" t="s">
        <v>42</v>
      </c>
      <c r="C37" s="42">
        <v>55144.318899999998</v>
      </c>
      <c r="D37" s="42">
        <v>8.0000000000000004E-4</v>
      </c>
      <c r="E37" s="25">
        <f t="shared" si="3"/>
        <v>7056.472253038195</v>
      </c>
      <c r="F37">
        <f t="shared" si="4"/>
        <v>7056.5</v>
      </c>
      <c r="G37">
        <f t="shared" si="5"/>
        <v>-8.8290000057895668E-3</v>
      </c>
      <c r="K37">
        <f t="shared" si="12"/>
        <v>-8.8290000057895668E-3</v>
      </c>
      <c r="O37">
        <f t="shared" ca="1" si="11"/>
        <v>-9.141605556831682E-3</v>
      </c>
      <c r="P37" s="38">
        <f t="shared" si="7"/>
        <v>-1.242940676422954E-2</v>
      </c>
      <c r="Q37" s="2">
        <f t="shared" si="8"/>
        <v>40125.818899999998</v>
      </c>
      <c r="R37" s="29">
        <f t="shared" si="9"/>
        <v>1.2962928826220232E-5</v>
      </c>
      <c r="S37" s="41">
        <v>0.7</v>
      </c>
      <c r="T37" s="29">
        <f t="shared" si="10"/>
        <v>9.0740501783541627E-6</v>
      </c>
      <c r="U37" s="40"/>
    </row>
    <row r="38" spans="1:24" x14ac:dyDescent="0.2">
      <c r="A38" s="42" t="s">
        <v>43</v>
      </c>
      <c r="B38" s="43" t="s">
        <v>40</v>
      </c>
      <c r="C38" s="42">
        <v>55392.507100000003</v>
      </c>
      <c r="D38" s="42">
        <v>1E-4</v>
      </c>
      <c r="E38" s="25">
        <f t="shared" si="3"/>
        <v>7836.4550938569464</v>
      </c>
      <c r="F38">
        <f t="shared" si="4"/>
        <v>7836.5</v>
      </c>
      <c r="G38">
        <f t="shared" si="5"/>
        <v>-1.4288999998825602E-2</v>
      </c>
      <c r="K38">
        <f t="shared" si="12"/>
        <v>-1.4288999998825602E-2</v>
      </c>
      <c r="O38">
        <f t="shared" ca="1" si="11"/>
        <v>-1.2099890745503068E-2</v>
      </c>
      <c r="P38" s="38">
        <f t="shared" si="7"/>
        <v>-1.4427410314629734E-2</v>
      </c>
      <c r="Q38" s="2">
        <f t="shared" si="8"/>
        <v>40374.007100000003</v>
      </c>
      <c r="R38" s="29">
        <f t="shared" si="9"/>
        <v>1.9157415520999382E-8</v>
      </c>
      <c r="S38" s="41">
        <v>1</v>
      </c>
      <c r="T38" s="29">
        <f t="shared" si="10"/>
        <v>1.9157415520999382E-8</v>
      </c>
      <c r="U38" s="40"/>
    </row>
    <row r="39" spans="1:24" x14ac:dyDescent="0.2">
      <c r="A39" s="45" t="s">
        <v>50</v>
      </c>
      <c r="B39" s="46" t="s">
        <v>42</v>
      </c>
      <c r="C39" s="47">
        <v>55487.329400000002</v>
      </c>
      <c r="D39" s="47">
        <v>2.0000000000000001E-4</v>
      </c>
      <c r="E39" s="25">
        <f t="shared" si="3"/>
        <v>8134.4538179178262</v>
      </c>
      <c r="F39">
        <f t="shared" si="4"/>
        <v>8134.5</v>
      </c>
      <c r="G39">
        <f t="shared" si="5"/>
        <v>-1.4694999998027924E-2</v>
      </c>
      <c r="K39">
        <f t="shared" si="12"/>
        <v>-1.4694999998027924E-2</v>
      </c>
      <c r="O39">
        <f t="shared" ca="1" si="11"/>
        <v>-1.3230107394508292E-2</v>
      </c>
      <c r="P39" s="38">
        <f t="shared" si="7"/>
        <v>-1.5205899168114668E-2</v>
      </c>
      <c r="Q39" s="2">
        <f t="shared" si="8"/>
        <v>40468.829400000002</v>
      </c>
      <c r="R39" s="29">
        <f t="shared" si="9"/>
        <v>2.6101796199532349E-7</v>
      </c>
      <c r="S39" s="41">
        <v>1</v>
      </c>
      <c r="T39" s="29">
        <f t="shared" si="10"/>
        <v>2.6101796199532349E-7</v>
      </c>
      <c r="U39" s="40"/>
    </row>
    <row r="40" spans="1:24" x14ac:dyDescent="0.2">
      <c r="A40" s="45" t="s">
        <v>50</v>
      </c>
      <c r="B40" s="46" t="s">
        <v>40</v>
      </c>
      <c r="C40" s="84">
        <v>55487.488899999997</v>
      </c>
      <c r="D40" s="84">
        <v>1E-4</v>
      </c>
      <c r="E40" s="25">
        <f t="shared" si="3"/>
        <v>8134.9550797147458</v>
      </c>
      <c r="F40">
        <f t="shared" si="4"/>
        <v>8135</v>
      </c>
      <c r="G40">
        <f t="shared" si="5"/>
        <v>-1.4293500003986992E-2</v>
      </c>
      <c r="K40">
        <f t="shared" si="12"/>
        <v>-1.4293500003986992E-2</v>
      </c>
      <c r="O40">
        <f t="shared" ca="1" si="11"/>
        <v>-1.3232003731167695E-2</v>
      </c>
      <c r="P40" s="38">
        <f t="shared" si="7"/>
        <v>-1.5207212395709825E-2</v>
      </c>
      <c r="Q40" s="2">
        <f t="shared" si="8"/>
        <v>40468.988899999997</v>
      </c>
      <c r="R40" s="29">
        <f t="shared" si="9"/>
        <v>8.3487033478786082E-7</v>
      </c>
      <c r="S40" s="41">
        <v>1</v>
      </c>
      <c r="T40" s="29">
        <f t="shared" si="10"/>
        <v>8.3487033478786082E-7</v>
      </c>
      <c r="U40" s="40"/>
    </row>
    <row r="41" spans="1:24" x14ac:dyDescent="0.2">
      <c r="A41" s="90" t="s">
        <v>223</v>
      </c>
      <c r="B41" s="3" t="s">
        <v>42</v>
      </c>
      <c r="C41" s="10">
        <v>55509.284119999997</v>
      </c>
      <c r="D41" s="10">
        <v>2.5000000000000001E-4</v>
      </c>
      <c r="E41" s="25">
        <f t="shared" si="3"/>
        <v>8203.4510743344308</v>
      </c>
      <c r="F41">
        <f t="shared" si="4"/>
        <v>8203.5</v>
      </c>
      <c r="G41">
        <f t="shared" si="5"/>
        <v>-1.5568000009807292E-2</v>
      </c>
      <c r="K41">
        <f t="shared" si="12"/>
        <v>-1.5568000009807292E-2</v>
      </c>
      <c r="O41">
        <f t="shared" ca="1" si="11"/>
        <v>-1.3491801853506145E-2</v>
      </c>
      <c r="P41" s="38">
        <f t="shared" si="7"/>
        <v>-1.53873474657519E-2</v>
      </c>
      <c r="Q41" s="2">
        <f t="shared" si="8"/>
        <v>40490.784119999997</v>
      </c>
      <c r="R41" s="29">
        <f t="shared" si="9"/>
        <v>3.2635341673685584E-8</v>
      </c>
      <c r="S41" s="41">
        <v>1</v>
      </c>
      <c r="T41" s="29">
        <f t="shared" si="10"/>
        <v>3.2635341673685584E-8</v>
      </c>
      <c r="U41" s="40"/>
    </row>
    <row r="42" spans="1:24" x14ac:dyDescent="0.2">
      <c r="A42" s="45" t="s">
        <v>50</v>
      </c>
      <c r="B42" s="46" t="s">
        <v>40</v>
      </c>
      <c r="C42" s="47">
        <v>55509.444000000003</v>
      </c>
      <c r="D42" s="47">
        <v>8.0000000000000004E-4</v>
      </c>
      <c r="E42" s="25">
        <f t="shared" si="3"/>
        <v>8203.9535303601206</v>
      </c>
      <c r="F42">
        <f t="shared" si="4"/>
        <v>8204</v>
      </c>
      <c r="G42">
        <f t="shared" si="5"/>
        <v>-1.4786500003538094E-2</v>
      </c>
      <c r="K42">
        <f t="shared" si="12"/>
        <v>-1.4786500003538094E-2</v>
      </c>
      <c r="O42">
        <f t="shared" ca="1" si="11"/>
        <v>-1.3493698190165548E-2</v>
      </c>
      <c r="P42" s="38">
        <f t="shared" si="7"/>
        <v>-1.5388663947208454E-2</v>
      </c>
      <c r="Q42" s="2">
        <f t="shared" si="8"/>
        <v>40490.944000000003</v>
      </c>
      <c r="R42" s="29">
        <f t="shared" si="9"/>
        <v>3.6260141505664038E-7</v>
      </c>
      <c r="S42" s="41">
        <v>0.7</v>
      </c>
      <c r="T42" s="29">
        <f t="shared" si="10"/>
        <v>2.5382099053964826E-7</v>
      </c>
      <c r="U42" s="40"/>
    </row>
    <row r="43" spans="1:24" x14ac:dyDescent="0.2">
      <c r="A43" s="45" t="s">
        <v>50</v>
      </c>
      <c r="B43" s="46" t="s">
        <v>42</v>
      </c>
      <c r="C43" s="47">
        <v>55528.376799999998</v>
      </c>
      <c r="D43" s="47">
        <v>0</v>
      </c>
      <c r="E43" s="25">
        <f t="shared" si="3"/>
        <v>8263.4537770626193</v>
      </c>
      <c r="F43">
        <f t="shared" si="4"/>
        <v>8263.5</v>
      </c>
      <c r="G43">
        <f t="shared" si="5"/>
        <v>-1.4708000002428889E-2</v>
      </c>
      <c r="K43">
        <f t="shared" si="12"/>
        <v>-1.4708000002428889E-2</v>
      </c>
      <c r="O43">
        <f t="shared" ca="1" si="11"/>
        <v>-1.3719362252634714E-2</v>
      </c>
      <c r="P43" s="38">
        <f t="shared" si="7"/>
        <v>-1.5545493592497392E-2</v>
      </c>
      <c r="Q43" s="2">
        <f t="shared" si="8"/>
        <v>40509.876799999998</v>
      </c>
      <c r="R43" s="29">
        <f t="shared" si="9"/>
        <v>7.0139551340582915E-7</v>
      </c>
      <c r="S43" s="41">
        <v>1</v>
      </c>
      <c r="T43" s="29">
        <f t="shared" si="10"/>
        <v>7.0139551340582915E-7</v>
      </c>
      <c r="U43" s="40"/>
    </row>
    <row r="44" spans="1:24" x14ac:dyDescent="0.2">
      <c r="A44" s="90" t="s">
        <v>223</v>
      </c>
      <c r="B44" s="46" t="s">
        <v>42</v>
      </c>
      <c r="C44" s="10">
        <v>55538.241670000003</v>
      </c>
      <c r="D44" s="10">
        <v>6.0000000000000002E-5</v>
      </c>
      <c r="E44" s="25">
        <f t="shared" si="3"/>
        <v>8294.4561749482218</v>
      </c>
      <c r="F44">
        <f t="shared" si="4"/>
        <v>8294.5</v>
      </c>
      <c r="G44">
        <f t="shared" si="5"/>
        <v>-1.3944999998784624E-2</v>
      </c>
      <c r="K44">
        <f t="shared" si="12"/>
        <v>-1.3944999998784624E-2</v>
      </c>
      <c r="O44">
        <f t="shared" ca="1" si="11"/>
        <v>-1.383693512551781E-2</v>
      </c>
      <c r="P44" s="38">
        <f t="shared" si="7"/>
        <v>-1.5627335455707173E-2</v>
      </c>
      <c r="Q44" s="2">
        <f t="shared" si="8"/>
        <v>40519.741670000003</v>
      </c>
      <c r="R44" s="29">
        <f t="shared" si="9"/>
        <v>2.8302525896188E-6</v>
      </c>
      <c r="S44" s="41">
        <v>1</v>
      </c>
      <c r="T44" s="29">
        <f t="shared" si="10"/>
        <v>2.8302525896188E-6</v>
      </c>
      <c r="U44" s="40"/>
    </row>
    <row r="45" spans="1:24" x14ac:dyDescent="0.2">
      <c r="A45" s="45" t="s">
        <v>50</v>
      </c>
      <c r="B45" s="46" t="s">
        <v>42</v>
      </c>
      <c r="C45" s="47">
        <v>55551.287199999999</v>
      </c>
      <c r="D45" s="47">
        <v>1E-4</v>
      </c>
      <c r="E45" s="25">
        <f t="shared" si="3"/>
        <v>8335.4544558873749</v>
      </c>
      <c r="F45">
        <f t="shared" si="4"/>
        <v>8335.5</v>
      </c>
      <c r="G45">
        <f t="shared" si="5"/>
        <v>-1.4492000002064742E-2</v>
      </c>
      <c r="K45">
        <f t="shared" si="12"/>
        <v>-1.4492000002064742E-2</v>
      </c>
      <c r="O45">
        <f t="shared" ca="1" si="11"/>
        <v>-1.3992434731588992E-2</v>
      </c>
      <c r="P45" s="38">
        <f t="shared" si="7"/>
        <v>-1.573571712863122E-2</v>
      </c>
      <c r="Q45" s="2">
        <f t="shared" si="8"/>
        <v>40532.787199999999</v>
      </c>
      <c r="R45" s="29">
        <f t="shared" si="9"/>
        <v>1.5468322909147763E-6</v>
      </c>
      <c r="S45" s="41">
        <v>1</v>
      </c>
      <c r="T45" s="29">
        <f t="shared" si="10"/>
        <v>1.5468322909147763E-6</v>
      </c>
      <c r="U45" s="40"/>
      <c r="W45" t="s">
        <v>179</v>
      </c>
    </row>
    <row r="46" spans="1:24" ht="13.5" thickBot="1" x14ac:dyDescent="0.25">
      <c r="A46" s="45" t="s">
        <v>50</v>
      </c>
      <c r="B46" s="46" t="s">
        <v>42</v>
      </c>
      <c r="C46" s="47">
        <v>55553.196199999998</v>
      </c>
      <c r="D46" s="47">
        <v>1E-4</v>
      </c>
      <c r="E46" s="25">
        <f t="shared" si="3"/>
        <v>8341.4538839146644</v>
      </c>
      <c r="F46">
        <f t="shared" si="4"/>
        <v>8341.5</v>
      </c>
      <c r="G46">
        <f t="shared" si="5"/>
        <v>-1.4674000005470589E-2</v>
      </c>
      <c r="K46">
        <f t="shared" si="12"/>
        <v>-1.4674000005470589E-2</v>
      </c>
      <c r="O46">
        <f t="shared" ca="1" si="11"/>
        <v>-1.4015190771501849E-2</v>
      </c>
      <c r="P46" s="38">
        <f t="shared" si="7"/>
        <v>-1.5751591159644307E-2</v>
      </c>
      <c r="Q46" s="2">
        <f t="shared" si="8"/>
        <v>40534.696199999998</v>
      </c>
      <c r="R46" s="29">
        <f t="shared" si="9"/>
        <v>1.1612026955534462E-6</v>
      </c>
      <c r="S46" s="41">
        <v>1</v>
      </c>
      <c r="T46" s="29">
        <f t="shared" si="10"/>
        <v>1.1612026955534462E-6</v>
      </c>
      <c r="U46" s="40"/>
    </row>
    <row r="47" spans="1:24" x14ac:dyDescent="0.2">
      <c r="A47" s="90" t="s">
        <v>223</v>
      </c>
      <c r="B47" s="3" t="s">
        <v>40</v>
      </c>
      <c r="C47" s="10">
        <v>55553.353020000002</v>
      </c>
      <c r="D47" s="10">
        <v>6.9999999999999994E-5</v>
      </c>
      <c r="E47" s="25">
        <f t="shared" si="3"/>
        <v>8341.946723256342</v>
      </c>
      <c r="F47">
        <f t="shared" si="4"/>
        <v>8342</v>
      </c>
      <c r="G47">
        <f t="shared" si="5"/>
        <v>-1.6952500001934823E-2</v>
      </c>
      <c r="K47">
        <f t="shared" si="12"/>
        <v>-1.6952500001934823E-2</v>
      </c>
      <c r="O47">
        <f t="shared" ca="1" si="11"/>
        <v>-1.4017087108161259E-2</v>
      </c>
      <c r="P47" s="38">
        <f t="shared" si="7"/>
        <v>-1.5752914148823651E-2</v>
      </c>
      <c r="Q47" s="2">
        <f t="shared" si="8"/>
        <v>40534.853020000002</v>
      </c>
      <c r="R47" s="29">
        <f t="shared" si="9"/>
        <v>1.4390062189844573E-6</v>
      </c>
      <c r="S47" s="41">
        <v>1</v>
      </c>
      <c r="T47" s="29">
        <f t="shared" si="10"/>
        <v>1.4390062189844573E-6</v>
      </c>
      <c r="U47" s="40"/>
      <c r="W47" s="89" t="s">
        <v>180</v>
      </c>
      <c r="X47" s="89"/>
    </row>
    <row r="48" spans="1:24" x14ac:dyDescent="0.2">
      <c r="A48" s="28" t="s">
        <v>52</v>
      </c>
      <c r="B48" s="44" t="s">
        <v>42</v>
      </c>
      <c r="C48" s="27">
        <v>56167.946000000004</v>
      </c>
      <c r="D48" s="27">
        <v>2E-3</v>
      </c>
      <c r="E48" s="25">
        <f t="shared" si="3"/>
        <v>10273.432500934954</v>
      </c>
      <c r="F48">
        <f t="shared" si="4"/>
        <v>10273.5</v>
      </c>
      <c r="G48">
        <f t="shared" si="5"/>
        <v>-2.1478000002389308E-2</v>
      </c>
      <c r="L48">
        <f>+G48</f>
        <v>-2.1478000002389308E-2</v>
      </c>
      <c r="O48">
        <f t="shared" ca="1" si="11"/>
        <v>-2.1342635623441752E-2</v>
      </c>
      <c r="P48" s="38">
        <f t="shared" si="7"/>
        <v>-2.1039596680649912E-2</v>
      </c>
      <c r="Q48" s="2">
        <f t="shared" si="8"/>
        <v>41149.446000000004</v>
      </c>
      <c r="R48" s="29">
        <f t="shared" si="9"/>
        <v>1.9219747251213632E-7</v>
      </c>
      <c r="S48" s="41">
        <v>0.2</v>
      </c>
      <c r="T48" s="29">
        <f t="shared" si="10"/>
        <v>3.8439494502427264E-8</v>
      </c>
      <c r="U48" s="40"/>
      <c r="W48" t="s">
        <v>181</v>
      </c>
      <c r="X48">
        <v>0.99343877676307712</v>
      </c>
    </row>
    <row r="49" spans="1:31" x14ac:dyDescent="0.2">
      <c r="A49" s="50" t="s">
        <v>51</v>
      </c>
      <c r="B49" s="51" t="s">
        <v>40</v>
      </c>
      <c r="C49" s="27">
        <v>56279.6322</v>
      </c>
      <c r="D49" s="27">
        <v>1E-4</v>
      </c>
      <c r="E49" s="25">
        <f t="shared" si="3"/>
        <v>10624.429524791234</v>
      </c>
      <c r="F49">
        <f t="shared" si="4"/>
        <v>10624.5</v>
      </c>
      <c r="G49">
        <f t="shared" si="5"/>
        <v>-2.2425000002840534E-2</v>
      </c>
      <c r="K49">
        <f>+G49</f>
        <v>-2.2425000002840534E-2</v>
      </c>
      <c r="O49">
        <f t="shared" ca="1" si="11"/>
        <v>-2.2673863958343875E-2</v>
      </c>
      <c r="P49" s="38">
        <f t="shared" si="7"/>
        <v>-2.2038094548282428E-2</v>
      </c>
      <c r="Q49" s="2">
        <f t="shared" si="8"/>
        <v>41261.1322</v>
      </c>
      <c r="R49" s="29">
        <f t="shared" si="9"/>
        <v>1.4969583076681489E-7</v>
      </c>
      <c r="S49" s="41">
        <v>1</v>
      </c>
      <c r="T49" s="29">
        <f t="shared" si="10"/>
        <v>1.4969583076681489E-7</v>
      </c>
      <c r="U49" s="40"/>
      <c r="W49" t="s">
        <v>182</v>
      </c>
      <c r="X49">
        <v>0.98692060317651908</v>
      </c>
    </row>
    <row r="50" spans="1:31" x14ac:dyDescent="0.2">
      <c r="A50" s="48" t="s">
        <v>54</v>
      </c>
      <c r="B50" s="49" t="s">
        <v>40</v>
      </c>
      <c r="C50" s="52">
        <v>56514.935799999999</v>
      </c>
      <c r="D50" s="10">
        <v>2.0000000000000001E-4</v>
      </c>
      <c r="E50" s="25">
        <f t="shared" si="3"/>
        <v>11363.919840539023</v>
      </c>
      <c r="F50">
        <f t="shared" si="4"/>
        <v>11364</v>
      </c>
      <c r="G50">
        <f t="shared" si="5"/>
        <v>-2.5506500001938548E-2</v>
      </c>
      <c r="L50">
        <f>+G50</f>
        <v>-2.5506500001938548E-2</v>
      </c>
      <c r="O50">
        <f t="shared" ca="1" si="11"/>
        <v>-2.5478545877603478E-2</v>
      </c>
      <c r="P50" s="38">
        <f t="shared" si="7"/>
        <v>-2.4179796309966479E-2</v>
      </c>
      <c r="Q50" s="2">
        <f t="shared" si="8"/>
        <v>41496.435799999999</v>
      </c>
      <c r="R50" s="29">
        <f t="shared" si="9"/>
        <v>1.7601426862923171E-6</v>
      </c>
      <c r="S50" s="41">
        <v>1</v>
      </c>
      <c r="T50" s="29">
        <f t="shared" si="10"/>
        <v>1.7601426862923171E-6</v>
      </c>
      <c r="U50" s="40"/>
      <c r="W50" t="s">
        <v>183</v>
      </c>
      <c r="X50">
        <v>0.98430472381182299</v>
      </c>
    </row>
    <row r="51" spans="1:31" x14ac:dyDescent="0.2">
      <c r="A51" s="68" t="s">
        <v>130</v>
      </c>
      <c r="B51" s="87" t="s">
        <v>40</v>
      </c>
      <c r="C51" s="69">
        <v>56516.525999999998</v>
      </c>
      <c r="D51" s="69" t="s">
        <v>77</v>
      </c>
      <c r="E51" s="25">
        <f t="shared" si="3"/>
        <v>11368.917373513874</v>
      </c>
      <c r="F51">
        <f t="shared" si="4"/>
        <v>11369</v>
      </c>
      <c r="G51">
        <f t="shared" si="5"/>
        <v>-2.6291500005754642E-2</v>
      </c>
      <c r="I51">
        <f>+G51</f>
        <v>-2.6291500005754642E-2</v>
      </c>
      <c r="O51">
        <f t="shared" ca="1" si="11"/>
        <v>-2.5497509244197521E-2</v>
      </c>
      <c r="P51" s="38">
        <f t="shared" si="7"/>
        <v>-2.419445259556537E-2</v>
      </c>
      <c r="Q51" s="2">
        <f t="shared" si="8"/>
        <v>41498.025999999998</v>
      </c>
      <c r="R51" s="29">
        <f t="shared" si="9"/>
        <v>4.3976078405815352E-6</v>
      </c>
      <c r="S51" s="41">
        <v>0.2</v>
      </c>
      <c r="T51" s="29">
        <f t="shared" si="10"/>
        <v>8.7952156811630705E-7</v>
      </c>
      <c r="U51" s="40"/>
      <c r="W51" t="s">
        <v>184</v>
      </c>
      <c r="X51">
        <v>7.5894214428556123E-4</v>
      </c>
    </row>
    <row r="52" spans="1:31" ht="13.5" thickBot="1" x14ac:dyDescent="0.25">
      <c r="A52" s="48" t="s">
        <v>54</v>
      </c>
      <c r="B52" s="44" t="s">
        <v>42</v>
      </c>
      <c r="C52" s="27">
        <v>56526.8681</v>
      </c>
      <c r="D52" s="27">
        <v>2.9999999999999997E-4</v>
      </c>
      <c r="E52" s="25">
        <f t="shared" si="3"/>
        <v>11401.419565552145</v>
      </c>
      <c r="F52">
        <f t="shared" si="4"/>
        <v>11401.5</v>
      </c>
      <c r="G52">
        <f t="shared" si="5"/>
        <v>-2.5594000006094575E-2</v>
      </c>
      <c r="L52">
        <f>+G52</f>
        <v>-2.5594000006094575E-2</v>
      </c>
      <c r="O52">
        <f t="shared" ca="1" si="11"/>
        <v>-2.5620771127058833E-2</v>
      </c>
      <c r="P52" s="38">
        <f t="shared" si="7"/>
        <v>-2.4289775925053436E-2</v>
      </c>
      <c r="Q52" s="2">
        <f t="shared" si="8"/>
        <v>41508.3681</v>
      </c>
      <c r="R52" s="29">
        <f t="shared" si="9"/>
        <v>1.7010004535676029E-6</v>
      </c>
      <c r="S52" s="41">
        <v>1</v>
      </c>
      <c r="T52" s="29">
        <f t="shared" si="10"/>
        <v>1.7010004535676029E-6</v>
      </c>
      <c r="U52" s="40"/>
      <c r="W52" s="54" t="s">
        <v>185</v>
      </c>
      <c r="X52" s="54">
        <v>7</v>
      </c>
    </row>
    <row r="53" spans="1:31" x14ac:dyDescent="0.2">
      <c r="A53" s="48" t="s">
        <v>54</v>
      </c>
      <c r="B53" s="49" t="s">
        <v>40</v>
      </c>
      <c r="C53" s="27">
        <v>56535.936399999999</v>
      </c>
      <c r="D53" s="27">
        <v>2.0000000000000001E-4</v>
      </c>
      <c r="E53" s="25">
        <f t="shared" ref="E53:E76" si="13">+(C53-C$7)/C$8</f>
        <v>11429.918577170731</v>
      </c>
      <c r="F53">
        <f t="shared" ref="F53:F84" si="14">ROUND(2*E53,0)/2</f>
        <v>11430</v>
      </c>
      <c r="G53">
        <f t="shared" ref="G53:G84" si="15">+C53-(C$7+F53*C$8)</f>
        <v>-2.5908500007062685E-2</v>
      </c>
      <c r="L53">
        <f>+G53</f>
        <v>-2.5908500007062685E-2</v>
      </c>
      <c r="O53">
        <f t="shared" ca="1" si="11"/>
        <v>-2.5728862316644899E-2</v>
      </c>
      <c r="P53" s="38">
        <f t="shared" ref="P53:P76" si="16">+D$11+D$12*F53+D$13*F53^2</f>
        <v>-2.4373449135610622E-2</v>
      </c>
      <c r="Q53" s="2">
        <f t="shared" ref="Q53:Q76" si="17">+C53-15018.5</f>
        <v>41517.436399999999</v>
      </c>
      <c r="R53" s="29">
        <f t="shared" ref="R53:R76" si="18">+(P53-G53)^2</f>
        <v>2.3563811779457379E-6</v>
      </c>
      <c r="S53" s="41">
        <v>1</v>
      </c>
      <c r="T53" s="29">
        <f t="shared" ref="T53:T84" si="19">+S53*R53</f>
        <v>2.3563811779457379E-6</v>
      </c>
      <c r="U53" s="40"/>
    </row>
    <row r="54" spans="1:31" ht="13.5" thickBot="1" x14ac:dyDescent="0.25">
      <c r="A54" s="48" t="s">
        <v>54</v>
      </c>
      <c r="B54" s="44" t="s">
        <v>42</v>
      </c>
      <c r="C54" s="27">
        <v>56560.914499999999</v>
      </c>
      <c r="D54" s="27">
        <v>2.0000000000000001E-4</v>
      </c>
      <c r="E54" s="25">
        <f t="shared" si="13"/>
        <v>11508.417431653961</v>
      </c>
      <c r="F54">
        <f t="shared" si="14"/>
        <v>11508.5</v>
      </c>
      <c r="G54">
        <f t="shared" si="15"/>
        <v>-2.627300000312971E-2</v>
      </c>
      <c r="L54">
        <f>+G54</f>
        <v>-2.627300000312971E-2</v>
      </c>
      <c r="O54">
        <f t="shared" ca="1" si="11"/>
        <v>-2.6026587172171444E-2</v>
      </c>
      <c r="P54" s="38">
        <f t="shared" si="16"/>
        <v>-2.4604313551086679E-2</v>
      </c>
      <c r="Q54" s="2">
        <f t="shared" si="17"/>
        <v>41542.414499999999</v>
      </c>
      <c r="R54" s="29">
        <f t="shared" si="18"/>
        <v>2.7845144752319573E-6</v>
      </c>
      <c r="S54" s="41">
        <v>1</v>
      </c>
      <c r="T54" s="29">
        <f t="shared" si="19"/>
        <v>2.7845144752319573E-6</v>
      </c>
      <c r="U54" s="40"/>
      <c r="W54" t="s">
        <v>186</v>
      </c>
    </row>
    <row r="55" spans="1:31" x14ac:dyDescent="0.2">
      <c r="A55" s="48" t="s">
        <v>54</v>
      </c>
      <c r="B55" s="44" t="s">
        <v>42</v>
      </c>
      <c r="C55" s="27">
        <v>56579.688499999997</v>
      </c>
      <c r="D55" s="27">
        <v>2.0000000000000001E-4</v>
      </c>
      <c r="E55" s="25">
        <f t="shared" si="13"/>
        <v>11567.418616454564</v>
      </c>
      <c r="F55">
        <f t="shared" si="14"/>
        <v>11567.5</v>
      </c>
      <c r="G55">
        <f t="shared" si="15"/>
        <v>-2.5896000006468967E-2</v>
      </c>
      <c r="L55">
        <f>+G55</f>
        <v>-2.5896000006468967E-2</v>
      </c>
      <c r="O55">
        <f t="shared" ca="1" si="11"/>
        <v>-2.6250354897981203E-2</v>
      </c>
      <c r="P55" s="38">
        <f t="shared" si="16"/>
        <v>-2.4778212045690792E-2</v>
      </c>
      <c r="Q55" s="2">
        <f t="shared" si="17"/>
        <v>41561.188499999997</v>
      </c>
      <c r="R55" s="29">
        <f t="shared" si="18"/>
        <v>1.2494499252606293E-6</v>
      </c>
      <c r="S55" s="41">
        <v>1</v>
      </c>
      <c r="T55" s="29">
        <f t="shared" si="19"/>
        <v>1.2494499252606293E-6</v>
      </c>
      <c r="U55" s="40"/>
      <c r="W55" s="88"/>
      <c r="X55" s="88" t="s">
        <v>191</v>
      </c>
      <c r="Y55" s="88" t="s">
        <v>192</v>
      </c>
      <c r="Z55" s="88" t="s">
        <v>193</v>
      </c>
      <c r="AA55" s="88" t="s">
        <v>73</v>
      </c>
      <c r="AB55" s="88" t="s">
        <v>194</v>
      </c>
    </row>
    <row r="56" spans="1:31" x14ac:dyDescent="0.2">
      <c r="A56" s="48" t="s">
        <v>54</v>
      </c>
      <c r="B56" s="44" t="s">
        <v>40</v>
      </c>
      <c r="C56" s="27">
        <v>56579.847500000003</v>
      </c>
      <c r="D56" s="27">
        <v>2.0000000000000001E-4</v>
      </c>
      <c r="E56" s="25">
        <f t="shared" si="13"/>
        <v>11567.918306897927</v>
      </c>
      <c r="F56">
        <f t="shared" si="14"/>
        <v>11568</v>
      </c>
      <c r="G56">
        <f t="shared" si="15"/>
        <v>-2.5994499999796972E-2</v>
      </c>
      <c r="L56">
        <f>+G56</f>
        <v>-2.5994499999796972E-2</v>
      </c>
      <c r="O56">
        <f t="shared" ca="1" si="11"/>
        <v>-2.6252251234640606E-2</v>
      </c>
      <c r="P56" s="38">
        <f t="shared" si="16"/>
        <v>-2.4779687164679754E-2</v>
      </c>
      <c r="Q56" s="2">
        <f t="shared" si="17"/>
        <v>41561.347500000003</v>
      </c>
      <c r="R56" s="29">
        <f t="shared" si="18"/>
        <v>1.4757702243655321E-6</v>
      </c>
      <c r="S56" s="41">
        <v>1</v>
      </c>
      <c r="T56" s="29">
        <f t="shared" si="19"/>
        <v>1.4757702243655321E-6</v>
      </c>
      <c r="U56" s="40"/>
      <c r="W56" t="s">
        <v>187</v>
      </c>
      <c r="X56">
        <v>1</v>
      </c>
      <c r="Y56">
        <v>2.1731106667116211E-4</v>
      </c>
      <c r="Z56">
        <v>2.1731106667116211E-4</v>
      </c>
      <c r="AA56">
        <v>377.28062558845937</v>
      </c>
      <c r="AB56">
        <v>6.6740221675362282E-6</v>
      </c>
    </row>
    <row r="57" spans="1:31" x14ac:dyDescent="0.2">
      <c r="A57" s="108" t="s">
        <v>55</v>
      </c>
      <c r="B57" s="109" t="s">
        <v>40</v>
      </c>
      <c r="C57" s="110">
        <v>56630.281000000003</v>
      </c>
      <c r="D57" s="47">
        <v>2.5000000000000001E-3</v>
      </c>
      <c r="E57" s="25">
        <f t="shared" si="13"/>
        <v>11726.416030006565</v>
      </c>
      <c r="F57">
        <f t="shared" si="14"/>
        <v>11726.5</v>
      </c>
      <c r="G57">
        <f t="shared" si="15"/>
        <v>-2.6719000001321547E-2</v>
      </c>
      <c r="J57">
        <f>+G57</f>
        <v>-2.6719000001321547E-2</v>
      </c>
      <c r="O57">
        <f t="shared" ca="1" si="11"/>
        <v>-2.6853389955671911E-2</v>
      </c>
      <c r="P57" s="38">
        <f t="shared" si="16"/>
        <v>-2.5248488321686982E-2</v>
      </c>
      <c r="Q57" s="2">
        <f t="shared" si="17"/>
        <v>41611.781000000003</v>
      </c>
      <c r="R57" s="29">
        <f t="shared" si="18"/>
        <v>2.1624045999416687E-6</v>
      </c>
      <c r="S57" s="41">
        <v>0.1</v>
      </c>
      <c r="T57" s="29">
        <f t="shared" si="19"/>
        <v>2.1624045999416687E-7</v>
      </c>
      <c r="U57" s="40"/>
      <c r="W57" t="s">
        <v>188</v>
      </c>
      <c r="X57">
        <v>5</v>
      </c>
      <c r="Y57">
        <v>2.8799658918638283E-6</v>
      </c>
      <c r="Z57">
        <v>5.7599317837276565E-7</v>
      </c>
    </row>
    <row r="58" spans="1:31" ht="13.5" thickBot="1" x14ac:dyDescent="0.25">
      <c r="A58" s="108" t="s">
        <v>55</v>
      </c>
      <c r="B58" s="109" t="s">
        <v>40</v>
      </c>
      <c r="C58" s="110">
        <v>56630.440600000002</v>
      </c>
      <c r="D58" s="47">
        <v>1.8E-3</v>
      </c>
      <c r="E58" s="25">
        <f t="shared" si="13"/>
        <v>11726.917606074217</v>
      </c>
      <c r="F58">
        <f t="shared" si="14"/>
        <v>11727</v>
      </c>
      <c r="G58">
        <f t="shared" si="15"/>
        <v>-2.6217500002530869E-2</v>
      </c>
      <c r="J58">
        <f>+G58</f>
        <v>-2.6217500002530869E-2</v>
      </c>
      <c r="O58">
        <f t="shared" ca="1" si="11"/>
        <v>-2.6855286292331314E-2</v>
      </c>
      <c r="P58" s="38">
        <f t="shared" si="16"/>
        <v>-2.5249970938704375E-2</v>
      </c>
      <c r="Q58" s="2">
        <f t="shared" si="17"/>
        <v>41611.940600000002</v>
      </c>
      <c r="R58" s="29">
        <f t="shared" si="18"/>
        <v>9.3611248934897272E-7</v>
      </c>
      <c r="S58" s="41">
        <v>0.3</v>
      </c>
      <c r="T58" s="29">
        <f t="shared" si="19"/>
        <v>2.8083374680469183E-7</v>
      </c>
      <c r="U58" s="40"/>
      <c r="W58" s="54" t="s">
        <v>189</v>
      </c>
      <c r="X58" s="54">
        <v>6</v>
      </c>
      <c r="Y58" s="54">
        <v>2.2019103256302593E-4</v>
      </c>
      <c r="Z58" s="54"/>
      <c r="AA58" s="54"/>
      <c r="AB58" s="54"/>
    </row>
    <row r="59" spans="1:31" ht="13.5" thickBot="1" x14ac:dyDescent="0.25">
      <c r="A59" s="48" t="s">
        <v>66</v>
      </c>
      <c r="B59" s="51"/>
      <c r="C59" s="27">
        <v>56928.746099999997</v>
      </c>
      <c r="D59" s="27">
        <v>2.0000000000000001E-4</v>
      </c>
      <c r="E59" s="25">
        <f t="shared" si="13"/>
        <v>12664.404445987841</v>
      </c>
      <c r="F59">
        <f t="shared" si="14"/>
        <v>12664.5</v>
      </c>
      <c r="G59">
        <f t="shared" si="15"/>
        <v>-3.0405000004975591E-2</v>
      </c>
      <c r="L59">
        <f>+G59</f>
        <v>-3.0405000004975591E-2</v>
      </c>
      <c r="O59">
        <f t="shared" ca="1" si="11"/>
        <v>-3.0410917528715196E-2</v>
      </c>
      <c r="P59" s="38">
        <f t="shared" si="16"/>
        <v>-2.8071346895088691E-2</v>
      </c>
      <c r="Q59" s="2">
        <f t="shared" si="17"/>
        <v>41910.246099999997</v>
      </c>
      <c r="R59" s="29">
        <f t="shared" si="18"/>
        <v>5.4459368372847982E-6</v>
      </c>
      <c r="S59" s="41">
        <v>1</v>
      </c>
      <c r="T59" s="29">
        <f t="shared" si="19"/>
        <v>5.4459368372847982E-6</v>
      </c>
      <c r="U59" s="40"/>
    </row>
    <row r="60" spans="1:31" x14ac:dyDescent="0.2">
      <c r="A60" s="81" t="s">
        <v>0</v>
      </c>
      <c r="B60" s="82" t="s">
        <v>42</v>
      </c>
      <c r="C60" s="81">
        <v>56949.109800000209</v>
      </c>
      <c r="D60" s="81" t="s">
        <v>76</v>
      </c>
      <c r="E60" s="25">
        <f t="shared" si="13"/>
        <v>12728.401592410381</v>
      </c>
      <c r="F60">
        <f t="shared" si="14"/>
        <v>12728.5</v>
      </c>
      <c r="G60">
        <f t="shared" si="15"/>
        <v>-3.1312999795773067E-2</v>
      </c>
      <c r="K60">
        <f t="shared" ref="K60:K66" si="20">+G60</f>
        <v>-3.1312999795773067E-2</v>
      </c>
      <c r="O60">
        <f t="shared" ca="1" si="11"/>
        <v>-3.0653648621118999E-2</v>
      </c>
      <c r="P60" s="38">
        <f t="shared" si="16"/>
        <v>-2.8266975428494347E-2</v>
      </c>
      <c r="Q60" s="2">
        <f t="shared" si="17"/>
        <v>41930.609800000209</v>
      </c>
      <c r="R60" s="29">
        <f t="shared" si="18"/>
        <v>9.278264446055721E-6</v>
      </c>
      <c r="S60" s="41">
        <v>1</v>
      </c>
      <c r="T60" s="29">
        <f t="shared" si="19"/>
        <v>9.278264446055721E-6</v>
      </c>
      <c r="U60" s="40"/>
      <c r="W60" s="88"/>
      <c r="X60" s="88" t="s">
        <v>195</v>
      </c>
      <c r="Y60" s="88" t="s">
        <v>184</v>
      </c>
      <c r="Z60" s="88" t="s">
        <v>196</v>
      </c>
      <c r="AA60" s="88" t="s">
        <v>197</v>
      </c>
      <c r="AB60" s="88" t="s">
        <v>198</v>
      </c>
      <c r="AC60" s="88" t="s">
        <v>199</v>
      </c>
      <c r="AD60" s="88" t="s">
        <v>200</v>
      </c>
      <c r="AE60" s="88" t="s">
        <v>201</v>
      </c>
    </row>
    <row r="61" spans="1:31" x14ac:dyDescent="0.2">
      <c r="A61" s="81" t="s">
        <v>0</v>
      </c>
      <c r="B61" s="82" t="s">
        <v>40</v>
      </c>
      <c r="C61" s="81">
        <v>56949.27</v>
      </c>
      <c r="D61" s="81" t="s">
        <v>76</v>
      </c>
      <c r="E61" s="25">
        <f t="shared" si="13"/>
        <v>12728.905054101682</v>
      </c>
      <c r="F61">
        <f t="shared" si="14"/>
        <v>12729</v>
      </c>
      <c r="G61">
        <f t="shared" si="15"/>
        <v>-3.0211500008590519E-2</v>
      </c>
      <c r="K61">
        <f t="shared" si="20"/>
        <v>-3.0211500008590519E-2</v>
      </c>
      <c r="O61">
        <f t="shared" ca="1" si="11"/>
        <v>-3.0655544957778409E-2</v>
      </c>
      <c r="P61" s="38">
        <f t="shared" si="16"/>
        <v>-2.8268505297238105E-2</v>
      </c>
      <c r="Q61" s="2">
        <f t="shared" si="17"/>
        <v>41930.769999999997</v>
      </c>
      <c r="R61" s="29">
        <f t="shared" si="18"/>
        <v>3.7752284483434525E-6</v>
      </c>
      <c r="S61" s="41">
        <v>1</v>
      </c>
      <c r="T61" s="29">
        <f t="shared" si="19"/>
        <v>3.7752284483434525E-6</v>
      </c>
      <c r="U61" s="40"/>
      <c r="W61" t="s">
        <v>190</v>
      </c>
      <c r="X61">
        <v>-2.9173205066058598E-3</v>
      </c>
      <c r="Y61">
        <v>1.9701814952695039E-3</v>
      </c>
      <c r="Z61">
        <v>-1.4807369339375485</v>
      </c>
      <c r="AA61">
        <v>0.19875857015665346</v>
      </c>
      <c r="AB61">
        <v>-7.9818249956245691E-3</v>
      </c>
      <c r="AC61">
        <v>2.1471839824128494E-3</v>
      </c>
      <c r="AD61">
        <v>-7.9818249956245691E-3</v>
      </c>
      <c r="AE61">
        <v>2.1471839824128494E-3</v>
      </c>
    </row>
    <row r="62" spans="1:31" ht="13.5" thickBot="1" x14ac:dyDescent="0.25">
      <c r="A62" s="70" t="s">
        <v>65</v>
      </c>
      <c r="B62" s="71"/>
      <c r="C62" s="70">
        <v>56978.385000000002</v>
      </c>
      <c r="D62" s="70">
        <v>1.4E-3</v>
      </c>
      <c r="E62" s="25">
        <f t="shared" si="13"/>
        <v>12820.404973962666</v>
      </c>
      <c r="F62">
        <f t="shared" si="14"/>
        <v>12820.5</v>
      </c>
      <c r="G62">
        <f t="shared" si="15"/>
        <v>-3.0236999999033287E-2</v>
      </c>
      <c r="K62">
        <f t="shared" si="20"/>
        <v>-3.0236999999033287E-2</v>
      </c>
      <c r="O62">
        <f t="shared" ca="1" si="11"/>
        <v>-3.1002574566449472E-2</v>
      </c>
      <c r="P62" s="38">
        <f t="shared" si="16"/>
        <v>-2.8548868248435354E-2</v>
      </c>
      <c r="Q62" s="2">
        <f t="shared" si="17"/>
        <v>41959.885000000002</v>
      </c>
      <c r="R62" s="29">
        <f t="shared" si="18"/>
        <v>2.8497888073768437E-6</v>
      </c>
      <c r="S62" s="41">
        <v>0.5</v>
      </c>
      <c r="T62" s="29">
        <f t="shared" si="19"/>
        <v>1.4248944036884218E-6</v>
      </c>
      <c r="U62" s="40"/>
      <c r="W62" s="54" t="s">
        <v>202</v>
      </c>
      <c r="X62" s="54">
        <v>-2.3547566947403768E-6</v>
      </c>
      <c r="Y62" s="54">
        <v>1.2123102818853691E-7</v>
      </c>
      <c r="Z62" s="54">
        <v>-19.423712971222926</v>
      </c>
      <c r="AA62" s="54">
        <v>6.6740221675364916E-6</v>
      </c>
      <c r="AB62" s="54">
        <v>-2.6663904644937632E-6</v>
      </c>
      <c r="AC62" s="54">
        <v>-2.0431229249869904E-6</v>
      </c>
      <c r="AD62" s="54">
        <v>-2.6663904644937632E-6</v>
      </c>
      <c r="AE62" s="54">
        <v>-2.0431229249869904E-6</v>
      </c>
    </row>
    <row r="63" spans="1:31" ht="13.5" thickBot="1" x14ac:dyDescent="0.25">
      <c r="A63" s="122" t="s">
        <v>65</v>
      </c>
      <c r="B63" s="123"/>
      <c r="C63" s="122">
        <v>56978.542699999998</v>
      </c>
      <c r="D63" s="122">
        <v>1.5E-3</v>
      </c>
      <c r="E63" s="25">
        <f t="shared" si="13"/>
        <v>12820.900578886647</v>
      </c>
      <c r="F63">
        <f t="shared" si="14"/>
        <v>12821</v>
      </c>
      <c r="G63">
        <f t="shared" si="15"/>
        <v>-3.1635500003176276E-2</v>
      </c>
      <c r="K63">
        <f t="shared" si="20"/>
        <v>-3.1635500003176276E-2</v>
      </c>
      <c r="O63">
        <f t="shared" ca="1" si="11"/>
        <v>-3.1004470903108875E-2</v>
      </c>
      <c r="P63" s="38">
        <f t="shared" si="16"/>
        <v>-2.8550402455660966E-2</v>
      </c>
      <c r="Q63" s="2">
        <f t="shared" si="17"/>
        <v>41960.042699999998</v>
      </c>
      <c r="R63" s="29">
        <f t="shared" si="18"/>
        <v>9.5178268776849758E-6</v>
      </c>
      <c r="S63" s="41">
        <v>0.5</v>
      </c>
      <c r="T63" s="29">
        <f t="shared" si="19"/>
        <v>4.7589134388424879E-6</v>
      </c>
      <c r="U63" s="40"/>
    </row>
    <row r="64" spans="1:31" x14ac:dyDescent="0.2">
      <c r="A64" s="78" t="s">
        <v>1</v>
      </c>
      <c r="B64" s="79" t="s">
        <v>40</v>
      </c>
      <c r="C64" s="80">
        <v>57329.351699999999</v>
      </c>
      <c r="D64" s="80">
        <v>1.9E-3</v>
      </c>
      <c r="E64" s="25">
        <f t="shared" si="13"/>
        <v>13923.390545793944</v>
      </c>
      <c r="F64">
        <f t="shared" si="14"/>
        <v>13923.5</v>
      </c>
      <c r="G64">
        <f t="shared" si="15"/>
        <v>-3.4828000003471971E-2</v>
      </c>
      <c r="K64">
        <f t="shared" si="20"/>
        <v>-3.4828000003471971E-2</v>
      </c>
      <c r="O64">
        <f t="shared" ca="1" si="11"/>
        <v>-3.5185893237096325E-2</v>
      </c>
      <c r="P64" s="38">
        <f t="shared" si="16"/>
        <v>-3.1990675512121369E-2</v>
      </c>
      <c r="Q64" s="2">
        <f t="shared" si="17"/>
        <v>42310.851699999999</v>
      </c>
      <c r="R64" s="29">
        <f t="shared" si="18"/>
        <v>8.0504102692179474E-6</v>
      </c>
      <c r="S64" s="41">
        <v>0.2</v>
      </c>
      <c r="T64" s="29">
        <f t="shared" si="19"/>
        <v>1.6100820538435896E-6</v>
      </c>
      <c r="U64" s="40"/>
    </row>
    <row r="65" spans="1:21" x14ac:dyDescent="0.2">
      <c r="A65" s="78" t="s">
        <v>1</v>
      </c>
      <c r="B65" s="79" t="s">
        <v>40</v>
      </c>
      <c r="C65" s="80">
        <v>57329.5101</v>
      </c>
      <c r="D65" s="80">
        <v>1.4E-3</v>
      </c>
      <c r="E65" s="25">
        <f t="shared" si="13"/>
        <v>13923.888350612971</v>
      </c>
      <c r="F65">
        <f t="shared" si="14"/>
        <v>13924</v>
      </c>
      <c r="G65">
        <f t="shared" si="15"/>
        <v>-3.5526500003470574E-2</v>
      </c>
      <c r="K65">
        <f t="shared" si="20"/>
        <v>-3.5526500003470574E-2</v>
      </c>
      <c r="O65">
        <f t="shared" ca="1" si="11"/>
        <v>-3.5187789573755721E-2</v>
      </c>
      <c r="P65" s="38">
        <f t="shared" si="16"/>
        <v>-3.1992261733971905E-2</v>
      </c>
      <c r="Q65" s="2">
        <f t="shared" si="17"/>
        <v>42311.0101</v>
      </c>
      <c r="R65" s="29">
        <f t="shared" si="18"/>
        <v>1.2490840145588943E-5</v>
      </c>
      <c r="S65" s="41">
        <v>0.5</v>
      </c>
      <c r="T65" s="29">
        <f t="shared" si="19"/>
        <v>6.2454200727944715E-6</v>
      </c>
      <c r="U65" s="40"/>
    </row>
    <row r="66" spans="1:21" x14ac:dyDescent="0.2">
      <c r="A66" s="78" t="s">
        <v>1</v>
      </c>
      <c r="B66" s="79" t="s">
        <v>40</v>
      </c>
      <c r="C66" s="80">
        <v>57329.669099999999</v>
      </c>
      <c r="D66" s="80">
        <v>3.2000000000000002E-3</v>
      </c>
      <c r="E66" s="25">
        <f t="shared" si="13"/>
        <v>13924.388041056312</v>
      </c>
      <c r="F66">
        <f t="shared" si="14"/>
        <v>13924.5</v>
      </c>
      <c r="G66">
        <f t="shared" si="15"/>
        <v>-3.5625000004074536E-2</v>
      </c>
      <c r="K66">
        <f t="shared" si="20"/>
        <v>-3.5625000004074536E-2</v>
      </c>
      <c r="O66">
        <f t="shared" ca="1" si="11"/>
        <v>-3.518968591041513E-2</v>
      </c>
      <c r="P66" s="38">
        <f t="shared" si="16"/>
        <v>-3.1993847979401149E-2</v>
      </c>
      <c r="Q66" s="2">
        <f t="shared" si="17"/>
        <v>42311.169099999999</v>
      </c>
      <c r="R66" s="29">
        <f t="shared" si="18"/>
        <v>1.3185265026289638E-5</v>
      </c>
      <c r="S66" s="41">
        <v>0.1</v>
      </c>
      <c r="T66" s="29">
        <f t="shared" si="19"/>
        <v>1.3185265026289638E-6</v>
      </c>
      <c r="U66" s="40"/>
    </row>
    <row r="67" spans="1:21" x14ac:dyDescent="0.2">
      <c r="A67" s="72" t="s">
        <v>2</v>
      </c>
      <c r="B67" s="73" t="s">
        <v>40</v>
      </c>
      <c r="C67" s="74">
        <v>57758.275999999998</v>
      </c>
      <c r="D67" s="75">
        <v>4.0000000000000001E-3</v>
      </c>
      <c r="E67" s="25">
        <f t="shared" si="13"/>
        <v>15271.374027724945</v>
      </c>
      <c r="F67">
        <f t="shared" si="14"/>
        <v>15271.5</v>
      </c>
      <c r="G67">
        <f t="shared" si="15"/>
        <v>-4.0084000007482246E-2</v>
      </c>
      <c r="J67">
        <f>+G67</f>
        <v>-4.0084000007482246E-2</v>
      </c>
      <c r="O67">
        <f t="shared" ca="1" si="11"/>
        <v>-4.0298416870851492E-2</v>
      </c>
      <c r="P67" s="38">
        <f t="shared" si="16"/>
        <v>-3.6352787758212449E-2</v>
      </c>
      <c r="Q67" s="2">
        <f t="shared" si="17"/>
        <v>42739.775999999998</v>
      </c>
      <c r="R67" s="29">
        <f t="shared" si="18"/>
        <v>1.3921944849100977E-5</v>
      </c>
      <c r="S67" s="41">
        <v>0.1</v>
      </c>
      <c r="T67" s="29">
        <f t="shared" si="19"/>
        <v>1.3921944849100978E-6</v>
      </c>
      <c r="U67" s="40"/>
    </row>
    <row r="68" spans="1:21" x14ac:dyDescent="0.2">
      <c r="A68" s="77" t="s">
        <v>176</v>
      </c>
      <c r="C68" s="76">
        <v>58098.586000000003</v>
      </c>
      <c r="D68" s="10">
        <v>2.9999999999999997E-4</v>
      </c>
      <c r="E68" s="25">
        <f t="shared" si="13"/>
        <v>16340.868711835747</v>
      </c>
      <c r="F68">
        <f t="shared" si="14"/>
        <v>16341</v>
      </c>
      <c r="G68">
        <f t="shared" si="15"/>
        <v>-4.1775500001676846E-2</v>
      </c>
      <c r="L68">
        <f>+G68</f>
        <v>-4.1775500001676846E-2</v>
      </c>
      <c r="P68" s="38">
        <f t="shared" si="16"/>
        <v>-3.9935603512933238E-2</v>
      </c>
      <c r="Q68" s="2">
        <f t="shared" si="17"/>
        <v>43080.086000000003</v>
      </c>
      <c r="R68" s="29">
        <f t="shared" si="18"/>
        <v>3.3852190892910599E-6</v>
      </c>
      <c r="S68" s="41">
        <v>1</v>
      </c>
      <c r="T68" s="29">
        <f t="shared" si="19"/>
        <v>3.3852190892910599E-6</v>
      </c>
      <c r="U68" s="40"/>
    </row>
    <row r="69" spans="1:21" x14ac:dyDescent="0.2">
      <c r="A69" s="124" t="s">
        <v>277</v>
      </c>
      <c r="B69" s="125" t="s">
        <v>42</v>
      </c>
      <c r="C69" s="126">
        <v>58380.506170000001</v>
      </c>
      <c r="D69" s="126">
        <v>5.0000000000000002E-5</v>
      </c>
      <c r="E69" s="25">
        <f t="shared" si="13"/>
        <v>17226.861257334283</v>
      </c>
      <c r="F69">
        <f t="shared" si="14"/>
        <v>17227</v>
      </c>
      <c r="G69">
        <f t="shared" si="15"/>
        <v>-4.4147500004328322E-2</v>
      </c>
      <c r="K69">
        <f>+G69</f>
        <v>-4.4147500004328322E-2</v>
      </c>
      <c r="P69" s="38">
        <f t="shared" si="16"/>
        <v>-4.2985399511894909E-2</v>
      </c>
      <c r="Q69" s="2">
        <f t="shared" si="17"/>
        <v>43362.006170000001</v>
      </c>
      <c r="R69" s="29">
        <f t="shared" si="18"/>
        <v>1.3504775545139804E-6</v>
      </c>
      <c r="S69" s="41">
        <v>1</v>
      </c>
      <c r="T69" s="29">
        <f t="shared" si="19"/>
        <v>1.3504775545139804E-6</v>
      </c>
    </row>
    <row r="70" spans="1:21" x14ac:dyDescent="0.2">
      <c r="A70" s="127" t="s">
        <v>277</v>
      </c>
      <c r="B70" s="128" t="s">
        <v>42</v>
      </c>
      <c r="C70" s="129">
        <v>58380.506170000001</v>
      </c>
      <c r="D70" s="129">
        <v>5.0000000000000002E-5</v>
      </c>
      <c r="E70" s="25">
        <f t="shared" si="13"/>
        <v>17226.861257334283</v>
      </c>
      <c r="F70">
        <f t="shared" si="14"/>
        <v>17227</v>
      </c>
      <c r="G70">
        <f t="shared" si="15"/>
        <v>-4.4147500004328322E-2</v>
      </c>
      <c r="K70">
        <f>+G70</f>
        <v>-4.4147500004328322E-2</v>
      </c>
      <c r="P70" s="38">
        <f t="shared" si="16"/>
        <v>-4.2985399511894909E-2</v>
      </c>
      <c r="Q70" s="2">
        <f t="shared" si="17"/>
        <v>43362.006170000001</v>
      </c>
      <c r="R70" s="29">
        <f t="shared" si="18"/>
        <v>1.3504775545139804E-6</v>
      </c>
      <c r="S70" s="41">
        <v>1</v>
      </c>
      <c r="T70" s="29">
        <f t="shared" si="19"/>
        <v>1.3504775545139804E-6</v>
      </c>
    </row>
    <row r="71" spans="1:21" x14ac:dyDescent="0.2">
      <c r="A71" s="100" t="s">
        <v>271</v>
      </c>
      <c r="B71" s="87"/>
      <c r="C71" s="69">
        <v>59128.742201100002</v>
      </c>
      <c r="D71" s="69">
        <v>2E-3</v>
      </c>
      <c r="E71" s="25">
        <f t="shared" si="13"/>
        <v>19578.348012709102</v>
      </c>
      <c r="F71">
        <f t="shared" si="14"/>
        <v>19578.5</v>
      </c>
      <c r="G71">
        <f t="shared" si="15"/>
        <v>-4.8361900000600144E-2</v>
      </c>
      <c r="L71">
        <f>+G71</f>
        <v>-4.8361900000600144E-2</v>
      </c>
      <c r="P71" s="38">
        <f t="shared" si="16"/>
        <v>-5.1438759346592366E-2</v>
      </c>
      <c r="Q71" s="2">
        <f t="shared" si="17"/>
        <v>44110.242201100002</v>
      </c>
      <c r="R71" s="29">
        <f t="shared" si="18"/>
        <v>9.4670634350196859E-6</v>
      </c>
      <c r="S71" s="41">
        <v>0.1</v>
      </c>
      <c r="T71" s="29">
        <f t="shared" si="19"/>
        <v>9.4670634350196867E-7</v>
      </c>
    </row>
    <row r="72" spans="1:21" x14ac:dyDescent="0.2">
      <c r="A72" s="100" t="s">
        <v>271</v>
      </c>
      <c r="B72" s="87"/>
      <c r="C72" s="28">
        <v>59130.809600000001</v>
      </c>
      <c r="D72" s="42">
        <v>2.0000000000000001E-4</v>
      </c>
      <c r="E72" s="25">
        <f t="shared" si="13"/>
        <v>19584.845242098439</v>
      </c>
      <c r="F72">
        <f t="shared" si="14"/>
        <v>19585</v>
      </c>
      <c r="G72">
        <f t="shared" si="15"/>
        <v>-4.9243500005104579E-2</v>
      </c>
      <c r="L72">
        <f>+G72</f>
        <v>-4.9243500005104579E-2</v>
      </c>
      <c r="P72" s="38">
        <f t="shared" si="16"/>
        <v>-5.1462848846897509E-2</v>
      </c>
      <c r="Q72" s="2">
        <f t="shared" si="17"/>
        <v>44112.309600000001</v>
      </c>
      <c r="R72" s="29">
        <f t="shared" si="18"/>
        <v>4.9255092815676194E-6</v>
      </c>
      <c r="S72" s="41">
        <v>1</v>
      </c>
      <c r="T72" s="29">
        <f t="shared" si="19"/>
        <v>4.9255092815676194E-6</v>
      </c>
    </row>
    <row r="73" spans="1:21" x14ac:dyDescent="0.2">
      <c r="A73" s="130" t="s">
        <v>278</v>
      </c>
      <c r="B73" s="131" t="s">
        <v>42</v>
      </c>
      <c r="C73" s="132">
        <v>59172.3341</v>
      </c>
      <c r="D73" s="132" t="s">
        <v>279</v>
      </c>
      <c r="E73" s="25">
        <f t="shared" si="13"/>
        <v>19715.344586843989</v>
      </c>
      <c r="F73">
        <f t="shared" si="14"/>
        <v>19715.5</v>
      </c>
      <c r="G73">
        <f t="shared" si="15"/>
        <v>-4.9452000006567687E-2</v>
      </c>
      <c r="K73">
        <f>+G73</f>
        <v>-4.9452000006567687E-2</v>
      </c>
      <c r="P73" s="38">
        <f t="shared" si="16"/>
        <v>-5.1947334995267574E-2</v>
      </c>
      <c r="Q73" s="2">
        <f t="shared" si="17"/>
        <v>44153.8341</v>
      </c>
      <c r="R73" s="29">
        <f t="shared" si="18"/>
        <v>6.2266967058298689E-6</v>
      </c>
      <c r="S73" s="41">
        <v>1</v>
      </c>
      <c r="T73" s="29">
        <f t="shared" si="19"/>
        <v>6.2266967058298689E-6</v>
      </c>
    </row>
    <row r="74" spans="1:21" x14ac:dyDescent="0.2">
      <c r="A74" s="144" t="s">
        <v>283</v>
      </c>
      <c r="B74" s="145" t="s">
        <v>40</v>
      </c>
      <c r="C74" s="146">
        <v>59226.271499999799</v>
      </c>
      <c r="D74" s="10" t="s">
        <v>279</v>
      </c>
      <c r="E74" s="25">
        <f t="shared" si="13"/>
        <v>19884.85404167794</v>
      </c>
      <c r="F74">
        <f t="shared" si="14"/>
        <v>19885</v>
      </c>
      <c r="G74">
        <f t="shared" si="15"/>
        <v>-4.6443500206805766E-2</v>
      </c>
      <c r="K74">
        <f>+G74</f>
        <v>-4.6443500206805766E-2</v>
      </c>
      <c r="P74" s="38">
        <f t="shared" si="16"/>
        <v>-5.2579008061894951E-2</v>
      </c>
      <c r="Q74" s="2">
        <f t="shared" si="17"/>
        <v>44207.771499999799</v>
      </c>
      <c r="R74" s="29">
        <f t="shared" si="18"/>
        <v>3.7644456639861097E-5</v>
      </c>
      <c r="S74" s="41">
        <v>1</v>
      </c>
      <c r="T74" s="29">
        <f t="shared" si="19"/>
        <v>3.7644456639861097E-5</v>
      </c>
    </row>
    <row r="75" spans="1:21" x14ac:dyDescent="0.2">
      <c r="A75" s="5" t="s">
        <v>280</v>
      </c>
      <c r="C75" s="10">
        <v>59520.7572</v>
      </c>
      <c r="D75" s="10">
        <v>1E-4</v>
      </c>
      <c r="E75" s="25">
        <f t="shared" si="13"/>
        <v>20810.336368664684</v>
      </c>
      <c r="F75">
        <f t="shared" si="14"/>
        <v>20810.5</v>
      </c>
      <c r="G75">
        <f t="shared" si="15"/>
        <v>-5.2067000004171859E-2</v>
      </c>
      <c r="K75">
        <f>+G75</f>
        <v>-5.2067000004171859E-2</v>
      </c>
      <c r="P75" s="38">
        <f t="shared" si="16"/>
        <v>-5.6075845188115751E-2</v>
      </c>
      <c r="Q75" s="2">
        <f t="shared" si="17"/>
        <v>44502.2572</v>
      </c>
      <c r="R75" s="29">
        <f t="shared" si="18"/>
        <v>1.6070839708830135E-5</v>
      </c>
      <c r="S75" s="41">
        <v>1</v>
      </c>
      <c r="T75" s="29">
        <f t="shared" si="19"/>
        <v>1.6070839708830135E-5</v>
      </c>
    </row>
    <row r="76" spans="1:21" x14ac:dyDescent="0.2">
      <c r="A76" s="5" t="s">
        <v>280</v>
      </c>
      <c r="C76" s="28">
        <v>59560.690199999997</v>
      </c>
      <c r="D76" s="42">
        <v>2.9999999999999997E-4</v>
      </c>
      <c r="E76" s="25">
        <f t="shared" si="13"/>
        <v>20935.834094916023</v>
      </c>
      <c r="F76">
        <f t="shared" si="14"/>
        <v>20936</v>
      </c>
      <c r="G76">
        <f t="shared" si="15"/>
        <v>-5.2790500005357899E-2</v>
      </c>
      <c r="K76">
        <f>+G76</f>
        <v>-5.2790500005357899E-2</v>
      </c>
      <c r="P76" s="38">
        <f t="shared" si="16"/>
        <v>-5.6556244700900288E-2</v>
      </c>
      <c r="Q76" s="2">
        <f t="shared" si="17"/>
        <v>44542.190199999997</v>
      </c>
      <c r="R76" s="29">
        <f t="shared" si="18"/>
        <v>1.418083311200564E-5</v>
      </c>
      <c r="S76" s="41">
        <v>1</v>
      </c>
      <c r="T76" s="29">
        <f t="shared" si="19"/>
        <v>1.418083311200564E-5</v>
      </c>
    </row>
    <row r="77" spans="1:21" x14ac:dyDescent="0.2">
      <c r="C77" s="10"/>
      <c r="D77" s="10"/>
    </row>
    <row r="78" spans="1:21" x14ac:dyDescent="0.2">
      <c r="C78" s="10"/>
      <c r="D78" s="10"/>
    </row>
    <row r="79" spans="1:21" x14ac:dyDescent="0.2">
      <c r="C79" s="10"/>
      <c r="D79" s="10"/>
    </row>
    <row r="80" spans="1:21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rotectedRanges>
    <protectedRange sqref="A71:D73" name="Range1"/>
  </protectedRanges>
  <sortState xmlns:xlrd2="http://schemas.microsoft.com/office/spreadsheetml/2017/richdata2" ref="A21:T76">
    <sortCondition ref="C21:C76"/>
  </sortState>
  <phoneticPr fontId="8" type="noConversion"/>
  <hyperlinks>
    <hyperlink ref="H3299" r:id="rId1" display="http://vsolj.cetus-net.org/bulletin.html" xr:uid="{00000000-0004-0000-0100-000000000000}"/>
    <hyperlink ref="H64962" r:id="rId2" display="http://vsolj.cetus-net.org/bulletin.html" xr:uid="{00000000-0004-0000-0100-000001000000}"/>
    <hyperlink ref="H64955" r:id="rId3" display="https://www.aavso.org/ejaavso" xr:uid="{00000000-0004-0000-0100-000002000000}"/>
    <hyperlink ref="I64962" r:id="rId4" display="http://vsolj.cetus-net.org/bulletin.html" xr:uid="{00000000-0004-0000-0100-000003000000}"/>
    <hyperlink ref="AQ58613" r:id="rId5" display="http://cdsbib.u-strasbg.fr/cgi-bin/cdsbib?1990RMxAA..21..381G" xr:uid="{00000000-0004-0000-0100-000004000000}"/>
    <hyperlink ref="H64959" r:id="rId6" display="https://www.aavso.org/ejaavso" xr:uid="{00000000-0004-0000-0100-000005000000}"/>
    <hyperlink ref="AP5977" r:id="rId7" display="http://cdsbib.u-strasbg.fr/cgi-bin/cdsbib?1990RMxAA..21..381G" xr:uid="{00000000-0004-0000-0100-000006000000}"/>
    <hyperlink ref="AP5980" r:id="rId8" display="http://cdsbib.u-strasbg.fr/cgi-bin/cdsbib?1990RMxAA..21..381G" xr:uid="{00000000-0004-0000-0100-000007000000}"/>
    <hyperlink ref="AP5978" r:id="rId9" display="http://cdsbib.u-strasbg.fr/cgi-bin/cdsbib?1990RMxAA..21..381G" xr:uid="{00000000-0004-0000-0100-000008000000}"/>
    <hyperlink ref="AP5962" r:id="rId10" display="http://cdsbib.u-strasbg.fr/cgi-bin/cdsbib?1990RMxAA..21..381G" xr:uid="{00000000-0004-0000-0100-000009000000}"/>
    <hyperlink ref="AQ6191" r:id="rId11" display="http://cdsbib.u-strasbg.fr/cgi-bin/cdsbib?1990RMxAA..21..381G" xr:uid="{00000000-0004-0000-0100-00000A000000}"/>
    <hyperlink ref="AQ6195" r:id="rId12" display="http://cdsbib.u-strasbg.fr/cgi-bin/cdsbib?1990RMxAA..21..381G" xr:uid="{00000000-0004-0000-0100-00000B000000}"/>
    <hyperlink ref="AQ339" r:id="rId13" display="http://cdsbib.u-strasbg.fr/cgi-bin/cdsbib?1990RMxAA..21..381G" xr:uid="{00000000-0004-0000-0100-00000C000000}"/>
    <hyperlink ref="I3083" r:id="rId14" display="http://vsolj.cetus-net.org/bulletin.html" xr:uid="{00000000-0004-0000-0100-00000D000000}"/>
    <hyperlink ref="H3083" r:id="rId15" display="http://vsolj.cetus-net.org/bulletin.html" xr:uid="{00000000-0004-0000-0100-00000E000000}"/>
    <hyperlink ref="AQ1000" r:id="rId16" display="http://cdsbib.u-strasbg.fr/cgi-bin/cdsbib?1990RMxAA..21..381G" xr:uid="{00000000-0004-0000-0100-00000F000000}"/>
    <hyperlink ref="AQ999" r:id="rId17" display="http://cdsbib.u-strasbg.fr/cgi-bin/cdsbib?1990RMxAA..21..381G" xr:uid="{00000000-0004-0000-0100-000010000000}"/>
    <hyperlink ref="AP4253" r:id="rId18" display="http://cdsbib.u-strasbg.fr/cgi-bin/cdsbib?1990RMxAA..21..381G" xr:uid="{00000000-0004-0000-0100-000011000000}"/>
    <hyperlink ref="AP4271" r:id="rId19" display="http://cdsbib.u-strasbg.fr/cgi-bin/cdsbib?1990RMxAA..21..381G" xr:uid="{00000000-0004-0000-0100-000012000000}"/>
    <hyperlink ref="AP4272" r:id="rId20" display="http://cdsbib.u-strasbg.fr/cgi-bin/cdsbib?1990RMxAA..21..381G" xr:uid="{00000000-0004-0000-0100-000013000000}"/>
    <hyperlink ref="AP4268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794"/>
  <sheetViews>
    <sheetView workbookViewId="0">
      <selection activeCell="A34" sqref="A34:D3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5" t="s">
        <v>67</v>
      </c>
      <c r="I1" s="56" t="s">
        <v>68</v>
      </c>
      <c r="J1" s="57" t="s">
        <v>69</v>
      </c>
    </row>
    <row r="2" spans="1:16" x14ac:dyDescent="0.2">
      <c r="I2" s="58" t="s">
        <v>70</v>
      </c>
      <c r="J2" s="59" t="s">
        <v>71</v>
      </c>
    </row>
    <row r="3" spans="1:16" x14ac:dyDescent="0.2">
      <c r="A3" s="60" t="s">
        <v>72</v>
      </c>
      <c r="I3" s="58" t="s">
        <v>73</v>
      </c>
      <c r="J3" s="59" t="s">
        <v>74</v>
      </c>
    </row>
    <row r="4" spans="1:16" x14ac:dyDescent="0.2">
      <c r="I4" s="58" t="s">
        <v>75</v>
      </c>
      <c r="J4" s="59" t="s">
        <v>74</v>
      </c>
    </row>
    <row r="5" spans="1:16" ht="13.5" thickBot="1" x14ac:dyDescent="0.25">
      <c r="I5" s="61" t="s">
        <v>76</v>
      </c>
      <c r="J5" s="62" t="s">
        <v>77</v>
      </c>
    </row>
    <row r="10" spans="1:16" ht="13.5" thickBot="1" x14ac:dyDescent="0.25"/>
    <row r="11" spans="1:16" ht="12.75" customHeight="1" thickBot="1" x14ac:dyDescent="0.25">
      <c r="A11" s="10" t="str">
        <f t="shared" ref="A11:A33" si="0">P11</f>
        <v>IBVS 6006 </v>
      </c>
      <c r="B11" s="3" t="str">
        <f t="shared" ref="B11:B33" si="1">IF(H11=INT(H11),"I","II")</f>
        <v>I</v>
      </c>
      <c r="C11" s="10">
        <f t="shared" ref="C11:C33" si="2">1*G11</f>
        <v>54049.407800000001</v>
      </c>
      <c r="D11" s="12" t="str">
        <f t="shared" ref="D11:D33" si="3">VLOOKUP(F11,I$1:J$5,2,FALSE)</f>
        <v>vis</v>
      </c>
      <c r="E11" s="63">
        <f>VLOOKUP(C11,'Active 1'!C$21:E$973,3,FALSE)</f>
        <v>3615.4872657504538</v>
      </c>
      <c r="F11" s="3" t="s">
        <v>76</v>
      </c>
      <c r="G11" s="12" t="str">
        <f t="shared" ref="G11:G33" si="4">MID(I11,3,LEN(I11)-3)</f>
        <v>54049.4078</v>
      </c>
      <c r="H11" s="10">
        <f t="shared" ref="H11:H33" si="5">1*K11</f>
        <v>3616</v>
      </c>
      <c r="I11" s="64" t="s">
        <v>78</v>
      </c>
      <c r="J11" s="65" t="s">
        <v>79</v>
      </c>
      <c r="K11" s="64">
        <v>3616</v>
      </c>
      <c r="L11" s="64" t="s">
        <v>80</v>
      </c>
      <c r="M11" s="65" t="s">
        <v>81</v>
      </c>
      <c r="N11" s="65" t="s">
        <v>76</v>
      </c>
      <c r="O11" s="66" t="s">
        <v>82</v>
      </c>
      <c r="P11" s="67" t="s">
        <v>83</v>
      </c>
    </row>
    <row r="12" spans="1:16" ht="12.75" customHeight="1" thickBot="1" x14ac:dyDescent="0.25">
      <c r="A12" s="10" t="str">
        <f t="shared" si="0"/>
        <v>IBVS 6006 </v>
      </c>
      <c r="B12" s="3" t="str">
        <f t="shared" si="1"/>
        <v>I</v>
      </c>
      <c r="C12" s="10">
        <f t="shared" si="2"/>
        <v>54084.412700000001</v>
      </c>
      <c r="D12" s="12" t="str">
        <f t="shared" si="3"/>
        <v>vis</v>
      </c>
      <c r="E12" s="63">
        <f>VLOOKUP(C12,'Active 1'!C$21:E$973,3,FALSE)</f>
        <v>3725.4974166946799</v>
      </c>
      <c r="F12" s="3" t="s">
        <v>76</v>
      </c>
      <c r="G12" s="12" t="str">
        <f t="shared" si="4"/>
        <v>54084.4127</v>
      </c>
      <c r="H12" s="10">
        <f t="shared" si="5"/>
        <v>3726</v>
      </c>
      <c r="I12" s="64" t="s">
        <v>84</v>
      </c>
      <c r="J12" s="65" t="s">
        <v>85</v>
      </c>
      <c r="K12" s="64">
        <v>3726</v>
      </c>
      <c r="L12" s="64" t="s">
        <v>86</v>
      </c>
      <c r="M12" s="65" t="s">
        <v>81</v>
      </c>
      <c r="N12" s="65" t="s">
        <v>76</v>
      </c>
      <c r="O12" s="66" t="s">
        <v>82</v>
      </c>
      <c r="P12" s="67" t="s">
        <v>83</v>
      </c>
    </row>
    <row r="13" spans="1:16" ht="12.75" customHeight="1" thickBot="1" x14ac:dyDescent="0.25">
      <c r="A13" s="10" t="str">
        <f t="shared" si="0"/>
        <v>IBVS 6039 </v>
      </c>
      <c r="B13" s="3" t="str">
        <f t="shared" si="1"/>
        <v>II</v>
      </c>
      <c r="C13" s="10">
        <f t="shared" si="2"/>
        <v>55487.329400000002</v>
      </c>
      <c r="D13" s="12" t="str">
        <f t="shared" si="3"/>
        <v>vis</v>
      </c>
      <c r="E13" s="63">
        <f>VLOOKUP(C13,'Active 1'!C$21:E$973,3,FALSE)</f>
        <v>8134.4538179178262</v>
      </c>
      <c r="F13" s="3" t="s">
        <v>76</v>
      </c>
      <c r="G13" s="12" t="str">
        <f t="shared" si="4"/>
        <v>55487.3294</v>
      </c>
      <c r="H13" s="10">
        <f t="shared" si="5"/>
        <v>8134.5</v>
      </c>
      <c r="I13" s="64" t="s">
        <v>87</v>
      </c>
      <c r="J13" s="65" t="s">
        <v>88</v>
      </c>
      <c r="K13" s="64">
        <v>8134.5</v>
      </c>
      <c r="L13" s="64" t="s">
        <v>89</v>
      </c>
      <c r="M13" s="65" t="s">
        <v>81</v>
      </c>
      <c r="N13" s="65" t="s">
        <v>90</v>
      </c>
      <c r="O13" s="66" t="s">
        <v>91</v>
      </c>
      <c r="P13" s="67" t="s">
        <v>92</v>
      </c>
    </row>
    <row r="14" spans="1:16" ht="12.75" customHeight="1" thickBot="1" x14ac:dyDescent="0.25">
      <c r="A14" s="10" t="str">
        <f t="shared" si="0"/>
        <v>IBVS 6039 </v>
      </c>
      <c r="B14" s="3" t="str">
        <f t="shared" si="1"/>
        <v>I</v>
      </c>
      <c r="C14" s="10">
        <f t="shared" si="2"/>
        <v>55487.488899999997</v>
      </c>
      <c r="D14" s="12" t="str">
        <f t="shared" si="3"/>
        <v>vis</v>
      </c>
      <c r="E14" s="63">
        <f>VLOOKUP(C14,'Active 1'!C$21:E$973,3,FALSE)</f>
        <v>8134.9550797147458</v>
      </c>
      <c r="F14" s="3" t="s">
        <v>76</v>
      </c>
      <c r="G14" s="12" t="str">
        <f t="shared" si="4"/>
        <v>55487.4889</v>
      </c>
      <c r="H14" s="10">
        <f t="shared" si="5"/>
        <v>8135</v>
      </c>
      <c r="I14" s="64" t="s">
        <v>93</v>
      </c>
      <c r="J14" s="65" t="s">
        <v>94</v>
      </c>
      <c r="K14" s="64">
        <v>8135</v>
      </c>
      <c r="L14" s="64" t="s">
        <v>95</v>
      </c>
      <c r="M14" s="65" t="s">
        <v>81</v>
      </c>
      <c r="N14" s="65" t="s">
        <v>90</v>
      </c>
      <c r="O14" s="66" t="s">
        <v>96</v>
      </c>
      <c r="P14" s="67" t="s">
        <v>92</v>
      </c>
    </row>
    <row r="15" spans="1:16" ht="12.75" customHeight="1" thickBot="1" x14ac:dyDescent="0.25">
      <c r="A15" s="10" t="str">
        <f t="shared" si="0"/>
        <v>IBVS 6039 </v>
      </c>
      <c r="B15" s="3" t="str">
        <f t="shared" si="1"/>
        <v>I</v>
      </c>
      <c r="C15" s="10">
        <f t="shared" si="2"/>
        <v>55509.444000000003</v>
      </c>
      <c r="D15" s="12" t="str">
        <f t="shared" si="3"/>
        <v>vis</v>
      </c>
      <c r="E15" s="63">
        <f>VLOOKUP(C15,'Active 1'!C$21:E$973,3,FALSE)</f>
        <v>8203.9535303601206</v>
      </c>
      <c r="F15" s="3" t="s">
        <v>76</v>
      </c>
      <c r="G15" s="12" t="str">
        <f t="shared" si="4"/>
        <v>55509.4440</v>
      </c>
      <c r="H15" s="10">
        <f t="shared" si="5"/>
        <v>8204</v>
      </c>
      <c r="I15" s="64" t="s">
        <v>97</v>
      </c>
      <c r="J15" s="65" t="s">
        <v>98</v>
      </c>
      <c r="K15" s="64">
        <v>8204</v>
      </c>
      <c r="L15" s="64" t="s">
        <v>99</v>
      </c>
      <c r="M15" s="65" t="s">
        <v>81</v>
      </c>
      <c r="N15" s="65" t="s">
        <v>90</v>
      </c>
      <c r="O15" s="66" t="s">
        <v>100</v>
      </c>
      <c r="P15" s="67" t="s">
        <v>92</v>
      </c>
    </row>
    <row r="16" spans="1:16" ht="12.75" customHeight="1" thickBot="1" x14ac:dyDescent="0.25">
      <c r="A16" s="10" t="str">
        <f t="shared" si="0"/>
        <v>IBVS 6039 </v>
      </c>
      <c r="B16" s="3" t="str">
        <f t="shared" si="1"/>
        <v>II</v>
      </c>
      <c r="C16" s="10">
        <f t="shared" si="2"/>
        <v>55528.376799999998</v>
      </c>
      <c r="D16" s="12" t="str">
        <f t="shared" si="3"/>
        <v>vis</v>
      </c>
      <c r="E16" s="63">
        <f>VLOOKUP(C16,'Active 1'!C$21:E$973,3,FALSE)</f>
        <v>8263.4537770626193</v>
      </c>
      <c r="F16" s="3" t="s">
        <v>76</v>
      </c>
      <c r="G16" s="12" t="str">
        <f t="shared" si="4"/>
        <v>55528.3768</v>
      </c>
      <c r="H16" s="10">
        <f t="shared" si="5"/>
        <v>8263.5</v>
      </c>
      <c r="I16" s="64" t="s">
        <v>101</v>
      </c>
      <c r="J16" s="65" t="s">
        <v>102</v>
      </c>
      <c r="K16" s="64">
        <v>8263.5</v>
      </c>
      <c r="L16" s="64" t="s">
        <v>89</v>
      </c>
      <c r="M16" s="65" t="s">
        <v>81</v>
      </c>
      <c r="N16" s="65" t="s">
        <v>90</v>
      </c>
      <c r="O16" s="66" t="s">
        <v>103</v>
      </c>
      <c r="P16" s="67" t="s">
        <v>92</v>
      </c>
    </row>
    <row r="17" spans="1:16" ht="12.75" customHeight="1" thickBot="1" x14ac:dyDescent="0.25">
      <c r="A17" s="10" t="str">
        <f t="shared" si="0"/>
        <v>IBVS 6039 </v>
      </c>
      <c r="B17" s="3" t="str">
        <f t="shared" si="1"/>
        <v>II</v>
      </c>
      <c r="C17" s="10">
        <f t="shared" si="2"/>
        <v>55551.287199999999</v>
      </c>
      <c r="D17" s="12" t="str">
        <f t="shared" si="3"/>
        <v>vis</v>
      </c>
      <c r="E17" s="63">
        <f>VLOOKUP(C17,'Active 1'!C$21:E$973,3,FALSE)</f>
        <v>8335.4544558873749</v>
      </c>
      <c r="F17" s="3" t="s">
        <v>76</v>
      </c>
      <c r="G17" s="12" t="str">
        <f t="shared" si="4"/>
        <v>55551.2872</v>
      </c>
      <c r="H17" s="10">
        <f t="shared" si="5"/>
        <v>8335.5</v>
      </c>
      <c r="I17" s="64" t="s">
        <v>104</v>
      </c>
      <c r="J17" s="65" t="s">
        <v>105</v>
      </c>
      <c r="K17" s="64">
        <v>8335.5</v>
      </c>
      <c r="L17" s="64" t="s">
        <v>106</v>
      </c>
      <c r="M17" s="65" t="s">
        <v>81</v>
      </c>
      <c r="N17" s="65" t="s">
        <v>90</v>
      </c>
      <c r="O17" s="66" t="s">
        <v>107</v>
      </c>
      <c r="P17" s="67" t="s">
        <v>92</v>
      </c>
    </row>
    <row r="18" spans="1:16" ht="12.75" customHeight="1" thickBot="1" x14ac:dyDescent="0.25">
      <c r="A18" s="10" t="str">
        <f t="shared" si="0"/>
        <v>IBVS 6039 </v>
      </c>
      <c r="B18" s="3" t="str">
        <f t="shared" si="1"/>
        <v>II</v>
      </c>
      <c r="C18" s="10">
        <f t="shared" si="2"/>
        <v>55553.196199999998</v>
      </c>
      <c r="D18" s="12" t="str">
        <f t="shared" si="3"/>
        <v>vis</v>
      </c>
      <c r="E18" s="63">
        <f>VLOOKUP(C18,'Active 1'!C$21:E$973,3,FALSE)</f>
        <v>8341.4538839146644</v>
      </c>
      <c r="F18" s="3" t="s">
        <v>76</v>
      </c>
      <c r="G18" s="12" t="str">
        <f t="shared" si="4"/>
        <v>55553.1962</v>
      </c>
      <c r="H18" s="10">
        <f t="shared" si="5"/>
        <v>8341.5</v>
      </c>
      <c r="I18" s="64" t="s">
        <v>108</v>
      </c>
      <c r="J18" s="65" t="s">
        <v>109</v>
      </c>
      <c r="K18" s="64">
        <v>8341.5</v>
      </c>
      <c r="L18" s="64" t="s">
        <v>89</v>
      </c>
      <c r="M18" s="65" t="s">
        <v>81</v>
      </c>
      <c r="N18" s="65" t="s">
        <v>90</v>
      </c>
      <c r="O18" s="66" t="s">
        <v>110</v>
      </c>
      <c r="P18" s="67" t="s">
        <v>92</v>
      </c>
    </row>
    <row r="19" spans="1:16" ht="12.75" customHeight="1" thickBot="1" x14ac:dyDescent="0.25">
      <c r="A19" s="10" t="str">
        <f t="shared" si="0"/>
        <v>IBVS 6050 </v>
      </c>
      <c r="B19" s="3" t="str">
        <f t="shared" si="1"/>
        <v>II</v>
      </c>
      <c r="C19" s="10">
        <f t="shared" si="2"/>
        <v>56167.946000000004</v>
      </c>
      <c r="D19" s="12" t="str">
        <f t="shared" si="3"/>
        <v>vis</v>
      </c>
      <c r="E19" s="63">
        <f>VLOOKUP(C19,'Active 1'!C$21:E$973,3,FALSE)</f>
        <v>10273.432500934954</v>
      </c>
      <c r="F19" s="3" t="s">
        <v>76</v>
      </c>
      <c r="G19" s="12" t="str">
        <f t="shared" si="4"/>
        <v>56167.946</v>
      </c>
      <c r="H19" s="10">
        <f t="shared" si="5"/>
        <v>10273.5</v>
      </c>
      <c r="I19" s="64" t="s">
        <v>111</v>
      </c>
      <c r="J19" s="65" t="s">
        <v>112</v>
      </c>
      <c r="K19" s="64">
        <v>10273.5</v>
      </c>
      <c r="L19" s="64" t="s">
        <v>113</v>
      </c>
      <c r="M19" s="65" t="s">
        <v>81</v>
      </c>
      <c r="N19" s="65" t="s">
        <v>90</v>
      </c>
      <c r="O19" s="66" t="s">
        <v>114</v>
      </c>
      <c r="P19" s="67" t="s">
        <v>115</v>
      </c>
    </row>
    <row r="20" spans="1:16" ht="12.75" customHeight="1" thickBot="1" x14ac:dyDescent="0.25">
      <c r="A20" s="10" t="str">
        <f t="shared" si="0"/>
        <v>IBVS 6042 </v>
      </c>
      <c r="B20" s="3" t="str">
        <f t="shared" si="1"/>
        <v>II</v>
      </c>
      <c r="C20" s="10">
        <f t="shared" si="2"/>
        <v>56279.6322</v>
      </c>
      <c r="D20" s="12" t="str">
        <f t="shared" si="3"/>
        <v>vis</v>
      </c>
      <c r="E20" s="63">
        <f>VLOOKUP(C20,'Active 1'!C$21:E$973,3,FALSE)</f>
        <v>10624.429524791234</v>
      </c>
      <c r="F20" s="3" t="s">
        <v>76</v>
      </c>
      <c r="G20" s="12" t="str">
        <f t="shared" si="4"/>
        <v>56279.6322</v>
      </c>
      <c r="H20" s="10">
        <f t="shared" si="5"/>
        <v>10624.5</v>
      </c>
      <c r="I20" s="64" t="s">
        <v>116</v>
      </c>
      <c r="J20" s="65" t="s">
        <v>117</v>
      </c>
      <c r="K20" s="64">
        <v>10624.5</v>
      </c>
      <c r="L20" s="64" t="s">
        <v>118</v>
      </c>
      <c r="M20" s="65" t="s">
        <v>81</v>
      </c>
      <c r="N20" s="65" t="s">
        <v>76</v>
      </c>
      <c r="O20" s="66" t="s">
        <v>119</v>
      </c>
      <c r="P20" s="67" t="s">
        <v>120</v>
      </c>
    </row>
    <row r="21" spans="1:16" ht="12.75" customHeight="1" thickBot="1" x14ac:dyDescent="0.25">
      <c r="A21" s="10" t="str">
        <f t="shared" si="0"/>
        <v>IBVS 6092 </v>
      </c>
      <c r="B21" s="3" t="str">
        <f t="shared" si="1"/>
        <v>I</v>
      </c>
      <c r="C21" s="10">
        <f t="shared" si="2"/>
        <v>56514.935799999999</v>
      </c>
      <c r="D21" s="12" t="str">
        <f t="shared" si="3"/>
        <v>vis</v>
      </c>
      <c r="E21" s="63">
        <f>VLOOKUP(C21,'Active 1'!C$21:E$973,3,FALSE)</f>
        <v>11363.919840539023</v>
      </c>
      <c r="F21" s="3" t="s">
        <v>76</v>
      </c>
      <c r="G21" s="12" t="str">
        <f t="shared" si="4"/>
        <v>56514.9358</v>
      </c>
      <c r="H21" s="10">
        <f t="shared" si="5"/>
        <v>11364</v>
      </c>
      <c r="I21" s="64" t="s">
        <v>121</v>
      </c>
      <c r="J21" s="65" t="s">
        <v>122</v>
      </c>
      <c r="K21" s="64">
        <v>11364</v>
      </c>
      <c r="L21" s="64" t="s">
        <v>123</v>
      </c>
      <c r="M21" s="65" t="s">
        <v>81</v>
      </c>
      <c r="N21" s="65" t="s">
        <v>90</v>
      </c>
      <c r="O21" s="66" t="s">
        <v>114</v>
      </c>
      <c r="P21" s="67" t="s">
        <v>124</v>
      </c>
    </row>
    <row r="22" spans="1:16" ht="12.75" customHeight="1" thickBot="1" x14ac:dyDescent="0.25">
      <c r="A22" s="10" t="str">
        <f t="shared" si="0"/>
        <v>IBVS 6092 </v>
      </c>
      <c r="B22" s="3" t="str">
        <f t="shared" si="1"/>
        <v>II</v>
      </c>
      <c r="C22" s="10">
        <f t="shared" si="2"/>
        <v>56526.8681</v>
      </c>
      <c r="D22" s="12" t="str">
        <f t="shared" si="3"/>
        <v>vis</v>
      </c>
      <c r="E22" s="63">
        <f>VLOOKUP(C22,'Active 1'!C$21:E$973,3,FALSE)</f>
        <v>11401.419565552145</v>
      </c>
      <c r="F22" s="3" t="s">
        <v>76</v>
      </c>
      <c r="G22" s="12" t="str">
        <f t="shared" si="4"/>
        <v>56526.8681</v>
      </c>
      <c r="H22" s="10">
        <f t="shared" si="5"/>
        <v>11401.5</v>
      </c>
      <c r="I22" s="64" t="s">
        <v>131</v>
      </c>
      <c r="J22" s="65" t="s">
        <v>132</v>
      </c>
      <c r="K22" s="64">
        <v>11401.5</v>
      </c>
      <c r="L22" s="64" t="s">
        <v>133</v>
      </c>
      <c r="M22" s="65" t="s">
        <v>81</v>
      </c>
      <c r="N22" s="65" t="s">
        <v>90</v>
      </c>
      <c r="O22" s="66" t="s">
        <v>114</v>
      </c>
      <c r="P22" s="67" t="s">
        <v>124</v>
      </c>
    </row>
    <row r="23" spans="1:16" ht="12.75" customHeight="1" thickBot="1" x14ac:dyDescent="0.25">
      <c r="A23" s="10" t="str">
        <f t="shared" si="0"/>
        <v>IBVS 6092 </v>
      </c>
      <c r="B23" s="3" t="str">
        <f t="shared" si="1"/>
        <v>I</v>
      </c>
      <c r="C23" s="10">
        <f t="shared" si="2"/>
        <v>56535.936399999999</v>
      </c>
      <c r="D23" s="12" t="str">
        <f t="shared" si="3"/>
        <v>vis</v>
      </c>
      <c r="E23" s="63">
        <f>VLOOKUP(C23,'Active 1'!C$21:E$973,3,FALSE)</f>
        <v>11429.918577170731</v>
      </c>
      <c r="F23" s="3" t="s">
        <v>76</v>
      </c>
      <c r="G23" s="12" t="str">
        <f t="shared" si="4"/>
        <v>56535.9364</v>
      </c>
      <c r="H23" s="10">
        <f t="shared" si="5"/>
        <v>11430</v>
      </c>
      <c r="I23" s="64" t="s">
        <v>134</v>
      </c>
      <c r="J23" s="65" t="s">
        <v>135</v>
      </c>
      <c r="K23" s="64">
        <v>11430</v>
      </c>
      <c r="L23" s="64" t="s">
        <v>136</v>
      </c>
      <c r="M23" s="65" t="s">
        <v>81</v>
      </c>
      <c r="N23" s="65" t="s">
        <v>90</v>
      </c>
      <c r="O23" s="66" t="s">
        <v>114</v>
      </c>
      <c r="P23" s="67" t="s">
        <v>124</v>
      </c>
    </row>
    <row r="24" spans="1:16" ht="12.75" customHeight="1" thickBot="1" x14ac:dyDescent="0.25">
      <c r="A24" s="10" t="str">
        <f t="shared" si="0"/>
        <v>IBVS 6092 </v>
      </c>
      <c r="B24" s="3" t="str">
        <f t="shared" si="1"/>
        <v>II</v>
      </c>
      <c r="C24" s="10">
        <f t="shared" si="2"/>
        <v>56579.688499999997</v>
      </c>
      <c r="D24" s="12" t="str">
        <f t="shared" si="3"/>
        <v>vis</v>
      </c>
      <c r="E24" s="63">
        <f>VLOOKUP(C24,'Active 1'!C$21:E$973,3,FALSE)</f>
        <v>11567.418616454564</v>
      </c>
      <c r="F24" s="3" t="s">
        <v>76</v>
      </c>
      <c r="G24" s="12" t="str">
        <f t="shared" si="4"/>
        <v>56579.6885</v>
      </c>
      <c r="H24" s="10">
        <f t="shared" si="5"/>
        <v>11567.5</v>
      </c>
      <c r="I24" s="64" t="s">
        <v>140</v>
      </c>
      <c r="J24" s="65" t="s">
        <v>141</v>
      </c>
      <c r="K24" s="64">
        <v>11567.5</v>
      </c>
      <c r="L24" s="64" t="s">
        <v>136</v>
      </c>
      <c r="M24" s="65" t="s">
        <v>81</v>
      </c>
      <c r="N24" s="65" t="s">
        <v>90</v>
      </c>
      <c r="O24" s="66" t="s">
        <v>114</v>
      </c>
      <c r="P24" s="67" t="s">
        <v>124</v>
      </c>
    </row>
    <row r="25" spans="1:16" ht="12.75" customHeight="1" thickBot="1" x14ac:dyDescent="0.25">
      <c r="A25" s="10" t="str">
        <f t="shared" si="0"/>
        <v>IBVS 6092 </v>
      </c>
      <c r="B25" s="3" t="str">
        <f t="shared" si="1"/>
        <v>I</v>
      </c>
      <c r="C25" s="10">
        <f t="shared" si="2"/>
        <v>56579.847500000003</v>
      </c>
      <c r="D25" s="12" t="str">
        <f t="shared" si="3"/>
        <v>vis</v>
      </c>
      <c r="E25" s="63">
        <f>VLOOKUP(C25,'Active 1'!C$21:E$973,3,FALSE)</f>
        <v>11567.918306897927</v>
      </c>
      <c r="F25" s="3" t="s">
        <v>76</v>
      </c>
      <c r="G25" s="12" t="str">
        <f t="shared" si="4"/>
        <v>56579.8475</v>
      </c>
      <c r="H25" s="10">
        <f t="shared" si="5"/>
        <v>11568</v>
      </c>
      <c r="I25" s="64" t="s">
        <v>142</v>
      </c>
      <c r="J25" s="65" t="s">
        <v>143</v>
      </c>
      <c r="K25" s="64">
        <v>11568</v>
      </c>
      <c r="L25" s="64" t="s">
        <v>144</v>
      </c>
      <c r="M25" s="65" t="s">
        <v>81</v>
      </c>
      <c r="N25" s="65" t="s">
        <v>90</v>
      </c>
      <c r="O25" s="66" t="s">
        <v>114</v>
      </c>
      <c r="P25" s="67" t="s">
        <v>124</v>
      </c>
    </row>
    <row r="26" spans="1:16" ht="12.75" customHeight="1" thickBot="1" x14ac:dyDescent="0.25">
      <c r="A26" s="10" t="str">
        <f t="shared" si="0"/>
        <v>BAVM 234 </v>
      </c>
      <c r="B26" s="3" t="str">
        <f t="shared" si="1"/>
        <v>II</v>
      </c>
      <c r="C26" s="10">
        <f t="shared" si="2"/>
        <v>56630.281000000003</v>
      </c>
      <c r="D26" s="12" t="str">
        <f t="shared" si="3"/>
        <v>vis</v>
      </c>
      <c r="E26" s="63">
        <f>VLOOKUP(C26,'Active 1'!C$21:E$973,3,FALSE)</f>
        <v>11726.416030006565</v>
      </c>
      <c r="F26" s="3" t="s">
        <v>76</v>
      </c>
      <c r="G26" s="12" t="str">
        <f t="shared" si="4"/>
        <v>56630.281</v>
      </c>
      <c r="H26" s="10">
        <f t="shared" si="5"/>
        <v>11726.5</v>
      </c>
      <c r="I26" s="64" t="s">
        <v>145</v>
      </c>
      <c r="J26" s="65" t="s">
        <v>146</v>
      </c>
      <c r="K26" s="64">
        <v>11726.5</v>
      </c>
      <c r="L26" s="64" t="s">
        <v>147</v>
      </c>
      <c r="M26" s="65" t="s">
        <v>81</v>
      </c>
      <c r="N26" s="65" t="s">
        <v>148</v>
      </c>
      <c r="O26" s="66" t="s">
        <v>149</v>
      </c>
      <c r="P26" s="67" t="s">
        <v>150</v>
      </c>
    </row>
    <row r="27" spans="1:16" ht="12.75" customHeight="1" thickBot="1" x14ac:dyDescent="0.25">
      <c r="A27" s="10" t="str">
        <f t="shared" si="0"/>
        <v>BAVM 234 </v>
      </c>
      <c r="B27" s="3" t="str">
        <f t="shared" si="1"/>
        <v>I</v>
      </c>
      <c r="C27" s="10">
        <f t="shared" si="2"/>
        <v>56630.440600000002</v>
      </c>
      <c r="D27" s="12" t="str">
        <f t="shared" si="3"/>
        <v>vis</v>
      </c>
      <c r="E27" s="63">
        <f>VLOOKUP(C27,'Active 1'!C$21:E$973,3,FALSE)</f>
        <v>11726.917606074217</v>
      </c>
      <c r="F27" s="3" t="s">
        <v>76</v>
      </c>
      <c r="G27" s="12" t="str">
        <f t="shared" si="4"/>
        <v>56630.4406</v>
      </c>
      <c r="H27" s="10">
        <f t="shared" si="5"/>
        <v>11727</v>
      </c>
      <c r="I27" s="64" t="s">
        <v>151</v>
      </c>
      <c r="J27" s="65" t="s">
        <v>152</v>
      </c>
      <c r="K27" s="64" t="s">
        <v>153</v>
      </c>
      <c r="L27" s="64" t="s">
        <v>154</v>
      </c>
      <c r="M27" s="65" t="s">
        <v>81</v>
      </c>
      <c r="N27" s="65" t="s">
        <v>148</v>
      </c>
      <c r="O27" s="66" t="s">
        <v>149</v>
      </c>
      <c r="P27" s="67" t="s">
        <v>150</v>
      </c>
    </row>
    <row r="28" spans="1:16" ht="12.75" customHeight="1" thickBot="1" x14ac:dyDescent="0.25">
      <c r="A28" s="10" t="str">
        <f t="shared" si="0"/>
        <v>BAVM 239 </v>
      </c>
      <c r="B28" s="3" t="str">
        <f t="shared" si="1"/>
        <v>II</v>
      </c>
      <c r="C28" s="10">
        <f t="shared" si="2"/>
        <v>56978.385000000002</v>
      </c>
      <c r="D28" s="12" t="str">
        <f t="shared" si="3"/>
        <v>vis</v>
      </c>
      <c r="E28" s="63">
        <f>VLOOKUP(C28,'Active 1'!C$21:E$973,3,FALSE)</f>
        <v>12820.404973962666</v>
      </c>
      <c r="F28" s="3" t="s">
        <v>76</v>
      </c>
      <c r="G28" s="12" t="str">
        <f t="shared" si="4"/>
        <v>56978.3850</v>
      </c>
      <c r="H28" s="10">
        <f t="shared" si="5"/>
        <v>12820.5</v>
      </c>
      <c r="I28" s="64" t="s">
        <v>165</v>
      </c>
      <c r="J28" s="65" t="s">
        <v>166</v>
      </c>
      <c r="K28" s="64" t="s">
        <v>167</v>
      </c>
      <c r="L28" s="64" t="s">
        <v>164</v>
      </c>
      <c r="M28" s="65" t="s">
        <v>81</v>
      </c>
      <c r="N28" s="65" t="s">
        <v>148</v>
      </c>
      <c r="O28" s="66" t="s">
        <v>149</v>
      </c>
      <c r="P28" s="67" t="s">
        <v>168</v>
      </c>
    </row>
    <row r="29" spans="1:16" ht="12.75" customHeight="1" thickBot="1" x14ac:dyDescent="0.25">
      <c r="A29" s="10" t="str">
        <f t="shared" si="0"/>
        <v>BAVM 239 </v>
      </c>
      <c r="B29" s="3" t="str">
        <f t="shared" si="1"/>
        <v>I</v>
      </c>
      <c r="C29" s="10">
        <f t="shared" si="2"/>
        <v>56978.542699999998</v>
      </c>
      <c r="D29" s="12" t="str">
        <f t="shared" si="3"/>
        <v>vis</v>
      </c>
      <c r="E29" s="63">
        <f>VLOOKUP(C29,'Active 1'!C$21:E$973,3,FALSE)</f>
        <v>12820.900578886647</v>
      </c>
      <c r="F29" s="3" t="s">
        <v>76</v>
      </c>
      <c r="G29" s="12" t="str">
        <f t="shared" si="4"/>
        <v>56978.5427</v>
      </c>
      <c r="H29" s="10">
        <f t="shared" si="5"/>
        <v>12821</v>
      </c>
      <c r="I29" s="64" t="s">
        <v>169</v>
      </c>
      <c r="J29" s="65" t="s">
        <v>170</v>
      </c>
      <c r="K29" s="64" t="s">
        <v>171</v>
      </c>
      <c r="L29" s="64" t="s">
        <v>172</v>
      </c>
      <c r="M29" s="65" t="s">
        <v>81</v>
      </c>
      <c r="N29" s="65" t="s">
        <v>148</v>
      </c>
      <c r="O29" s="66" t="s">
        <v>149</v>
      </c>
      <c r="P29" s="67" t="s">
        <v>168</v>
      </c>
    </row>
    <row r="30" spans="1:16" ht="12.75" customHeight="1" thickBot="1" x14ac:dyDescent="0.25">
      <c r="A30" s="10" t="str">
        <f t="shared" si="0"/>
        <v>OEJV 0162 </v>
      </c>
      <c r="B30" s="3" t="str">
        <f t="shared" si="1"/>
        <v>I</v>
      </c>
      <c r="C30" s="10">
        <f t="shared" si="2"/>
        <v>56516.525999999998</v>
      </c>
      <c r="D30" s="12" t="str">
        <f t="shared" si="3"/>
        <v>vis</v>
      </c>
      <c r="E30" s="63">
        <f>VLOOKUP(C30,'Active 1'!C$21:E$973,3,FALSE)</f>
        <v>11368.917373513874</v>
      </c>
      <c r="F30" s="3" t="s">
        <v>76</v>
      </c>
      <c r="G30" s="12" t="str">
        <f t="shared" si="4"/>
        <v>56516.526</v>
      </c>
      <c r="H30" s="10">
        <f t="shared" si="5"/>
        <v>11369</v>
      </c>
      <c r="I30" s="64" t="s">
        <v>125</v>
      </c>
      <c r="J30" s="65" t="s">
        <v>126</v>
      </c>
      <c r="K30" s="64">
        <v>11369</v>
      </c>
      <c r="L30" s="64" t="s">
        <v>127</v>
      </c>
      <c r="M30" s="65" t="s">
        <v>81</v>
      </c>
      <c r="N30" s="65" t="s">
        <v>128</v>
      </c>
      <c r="O30" s="66" t="s">
        <v>129</v>
      </c>
      <c r="P30" s="67" t="s">
        <v>130</v>
      </c>
    </row>
    <row r="31" spans="1:16" ht="12.75" customHeight="1" thickBot="1" x14ac:dyDescent="0.25">
      <c r="A31" s="10" t="str">
        <f t="shared" si="0"/>
        <v>IBVS 6092 </v>
      </c>
      <c r="B31" s="3" t="str">
        <f t="shared" si="1"/>
        <v>II</v>
      </c>
      <c r="C31" s="10">
        <f t="shared" si="2"/>
        <v>56560.914499999999</v>
      </c>
      <c r="D31" s="12" t="str">
        <f t="shared" si="3"/>
        <v>vis</v>
      </c>
      <c r="E31" s="63">
        <f>VLOOKUP(C31,'Active 1'!C$21:E$973,3,FALSE)</f>
        <v>11508.417431653961</v>
      </c>
      <c r="F31" s="3" t="s">
        <v>76</v>
      </c>
      <c r="G31" s="12" t="str">
        <f t="shared" si="4"/>
        <v>56560.9145</v>
      </c>
      <c r="H31" s="10">
        <f t="shared" si="5"/>
        <v>11508.5</v>
      </c>
      <c r="I31" s="64" t="s">
        <v>137</v>
      </c>
      <c r="J31" s="65" t="s">
        <v>138</v>
      </c>
      <c r="K31" s="64">
        <v>11508.5</v>
      </c>
      <c r="L31" s="64" t="s">
        <v>139</v>
      </c>
      <c r="M31" s="65" t="s">
        <v>81</v>
      </c>
      <c r="N31" s="65" t="s">
        <v>90</v>
      </c>
      <c r="O31" s="66" t="s">
        <v>114</v>
      </c>
      <c r="P31" s="67" t="s">
        <v>124</v>
      </c>
    </row>
    <row r="32" spans="1:16" ht="12.75" customHeight="1" thickBot="1" x14ac:dyDescent="0.25">
      <c r="A32" s="10" t="str">
        <f t="shared" si="0"/>
        <v>VSB 59 </v>
      </c>
      <c r="B32" s="3" t="str">
        <f t="shared" si="1"/>
        <v>II</v>
      </c>
      <c r="C32" s="10">
        <f t="shared" si="2"/>
        <v>56949.109799999998</v>
      </c>
      <c r="D32" s="12" t="str">
        <f t="shared" si="3"/>
        <v>vis</v>
      </c>
      <c r="E32" s="63" t="e">
        <f>VLOOKUP(C32,'Active 1'!C$21:E$973,3,FALSE)</f>
        <v>#N/A</v>
      </c>
      <c r="F32" s="3" t="s">
        <v>76</v>
      </c>
      <c r="G32" s="12" t="str">
        <f t="shared" si="4"/>
        <v>56949.1098</v>
      </c>
      <c r="H32" s="10">
        <f t="shared" si="5"/>
        <v>12728.5</v>
      </c>
      <c r="I32" s="64" t="s">
        <v>155</v>
      </c>
      <c r="J32" s="65" t="s">
        <v>156</v>
      </c>
      <c r="K32" s="64" t="s">
        <v>157</v>
      </c>
      <c r="L32" s="64" t="s">
        <v>158</v>
      </c>
      <c r="M32" s="65" t="s">
        <v>81</v>
      </c>
      <c r="N32" s="65" t="s">
        <v>76</v>
      </c>
      <c r="O32" s="66" t="s">
        <v>159</v>
      </c>
      <c r="P32" s="67" t="s">
        <v>160</v>
      </c>
    </row>
    <row r="33" spans="1:16" ht="12.75" customHeight="1" thickBot="1" x14ac:dyDescent="0.25">
      <c r="A33" s="10" t="str">
        <f t="shared" si="0"/>
        <v>VSB 59 </v>
      </c>
      <c r="B33" s="3" t="str">
        <f t="shared" si="1"/>
        <v>I</v>
      </c>
      <c r="C33" s="10">
        <f t="shared" si="2"/>
        <v>56949.27</v>
      </c>
      <c r="D33" s="12" t="str">
        <f t="shared" si="3"/>
        <v>vis</v>
      </c>
      <c r="E33" s="63">
        <f>VLOOKUP(C33,'Active 1'!C$21:E$973,3,FALSE)</f>
        <v>12728.905054101682</v>
      </c>
      <c r="F33" s="3" t="s">
        <v>76</v>
      </c>
      <c r="G33" s="12" t="str">
        <f t="shared" si="4"/>
        <v>56949.2700</v>
      </c>
      <c r="H33" s="10">
        <f t="shared" si="5"/>
        <v>12729</v>
      </c>
      <c r="I33" s="64" t="s">
        <v>161</v>
      </c>
      <c r="J33" s="65" t="s">
        <v>162</v>
      </c>
      <c r="K33" s="64" t="s">
        <v>163</v>
      </c>
      <c r="L33" s="64" t="s">
        <v>164</v>
      </c>
      <c r="M33" s="65" t="s">
        <v>81</v>
      </c>
      <c r="N33" s="65" t="s">
        <v>76</v>
      </c>
      <c r="O33" s="66" t="s">
        <v>159</v>
      </c>
      <c r="P33" s="67" t="s">
        <v>160</v>
      </c>
    </row>
    <row r="34" spans="1:16" x14ac:dyDescent="0.2">
      <c r="A34" s="26" t="s">
        <v>37</v>
      </c>
      <c r="B34" s="86"/>
      <c r="C34" s="27">
        <v>52898.811500000003</v>
      </c>
      <c r="D34" s="27" t="s">
        <v>15</v>
      </c>
      <c r="F34" s="3"/>
    </row>
    <row r="35" spans="1:16" x14ac:dyDescent="0.2">
      <c r="B35" s="3"/>
      <c r="F35" s="3"/>
    </row>
    <row r="36" spans="1:16" x14ac:dyDescent="0.2">
      <c r="B36" s="3"/>
      <c r="F36" s="3"/>
    </row>
    <row r="37" spans="1:16" x14ac:dyDescent="0.2">
      <c r="B37" s="3"/>
      <c r="F37" s="3"/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</sheetData>
  <phoneticPr fontId="8" type="noConversion"/>
  <hyperlinks>
    <hyperlink ref="A3" r:id="rId1" xr:uid="{00000000-0004-0000-0200-000000000000}"/>
    <hyperlink ref="P11" r:id="rId2" display="http://www.konkoly.hu/cgi-bin/IBVS?6006" xr:uid="{00000000-0004-0000-0200-000001000000}"/>
    <hyperlink ref="P12" r:id="rId3" display="http://www.konkoly.hu/cgi-bin/IBVS?6006" xr:uid="{00000000-0004-0000-0200-000002000000}"/>
    <hyperlink ref="P13" r:id="rId4" display="http://www.konkoly.hu/cgi-bin/IBVS?6039" xr:uid="{00000000-0004-0000-0200-000003000000}"/>
    <hyperlink ref="P14" r:id="rId5" display="http://www.konkoly.hu/cgi-bin/IBVS?6039" xr:uid="{00000000-0004-0000-0200-000004000000}"/>
    <hyperlink ref="P15" r:id="rId6" display="http://www.konkoly.hu/cgi-bin/IBVS?6039" xr:uid="{00000000-0004-0000-0200-000005000000}"/>
    <hyperlink ref="P16" r:id="rId7" display="http://www.konkoly.hu/cgi-bin/IBVS?6039" xr:uid="{00000000-0004-0000-0200-000006000000}"/>
    <hyperlink ref="P17" r:id="rId8" display="http://www.konkoly.hu/cgi-bin/IBVS?6039" xr:uid="{00000000-0004-0000-0200-000007000000}"/>
    <hyperlink ref="P18" r:id="rId9" display="http://www.konkoly.hu/cgi-bin/IBVS?6039" xr:uid="{00000000-0004-0000-0200-000008000000}"/>
    <hyperlink ref="P19" r:id="rId10" display="http://www.konkoly.hu/cgi-bin/IBVS?6050" xr:uid="{00000000-0004-0000-0200-000009000000}"/>
    <hyperlink ref="P20" r:id="rId11" display="http://www.konkoly.hu/cgi-bin/IBVS?6042" xr:uid="{00000000-0004-0000-0200-00000A000000}"/>
    <hyperlink ref="P21" r:id="rId12" display="http://www.konkoly.hu/cgi-bin/IBVS?6092" xr:uid="{00000000-0004-0000-0200-00000B000000}"/>
    <hyperlink ref="P30" r:id="rId13" display="http://var.astro.cz/oejv/issues/oejv0162.pdf" xr:uid="{00000000-0004-0000-0200-00000C000000}"/>
    <hyperlink ref="P22" r:id="rId14" display="http://www.konkoly.hu/cgi-bin/IBVS?6092" xr:uid="{00000000-0004-0000-0200-00000D000000}"/>
    <hyperlink ref="P23" r:id="rId15" display="http://www.konkoly.hu/cgi-bin/IBVS?6092" xr:uid="{00000000-0004-0000-0200-00000E000000}"/>
    <hyperlink ref="P31" r:id="rId16" display="http://www.konkoly.hu/cgi-bin/IBVS?6092" xr:uid="{00000000-0004-0000-0200-00000F000000}"/>
    <hyperlink ref="P24" r:id="rId17" display="http://www.konkoly.hu/cgi-bin/IBVS?6092" xr:uid="{00000000-0004-0000-0200-000010000000}"/>
    <hyperlink ref="P25" r:id="rId18" display="http://www.konkoly.hu/cgi-bin/IBVS?6092" xr:uid="{00000000-0004-0000-0200-000011000000}"/>
    <hyperlink ref="P26" r:id="rId19" display="http://www.bav-astro.de/sfs/BAVM_link.php?BAVMnr=234" xr:uid="{00000000-0004-0000-0200-000012000000}"/>
    <hyperlink ref="P27" r:id="rId20" display="http://www.bav-astro.de/sfs/BAVM_link.php?BAVMnr=234" xr:uid="{00000000-0004-0000-0200-000013000000}"/>
    <hyperlink ref="P32" r:id="rId21" display="http://vsolj.cetus-net.org/vsoljno59.pdf" xr:uid="{00000000-0004-0000-0200-000014000000}"/>
    <hyperlink ref="P33" r:id="rId22" display="http://vsolj.cetus-net.org/vsoljno59.pdf" xr:uid="{00000000-0004-0000-0200-000015000000}"/>
    <hyperlink ref="P28" r:id="rId23" display="http://www.bav-astro.de/sfs/BAVM_link.php?BAVMnr=239" xr:uid="{00000000-0004-0000-0200-000016000000}"/>
    <hyperlink ref="P29" r:id="rId24" display="http://www.bav-astro.de/sfs/BAVM_link.php?BAVMnr=239" xr:uid="{00000000-0004-0000-0200-000017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5"/>
  <sheetViews>
    <sheetView topLeftCell="B1" zoomScale="115" workbookViewId="0">
      <selection activeCell="D1" sqref="D1:D65536"/>
    </sheetView>
  </sheetViews>
  <sheetFormatPr defaultRowHeight="12.75" x14ac:dyDescent="0.2"/>
  <cols>
    <col min="2" max="2" width="21.7109375" customWidth="1"/>
    <col min="3" max="3" width="4.28515625" style="3" customWidth="1"/>
    <col min="4" max="4" width="18.28515625" customWidth="1"/>
    <col min="5" max="5" width="9.140625" style="10"/>
    <col min="7" max="7" width="3.7109375" customWidth="1"/>
    <col min="8" max="8" width="13.7109375" customWidth="1"/>
    <col min="11" max="11" width="14.7109375" customWidth="1"/>
    <col min="13" max="13" width="9.140625" style="3"/>
    <col min="18" max="18" width="13.140625" customWidth="1"/>
    <col min="19" max="19" width="14.28515625" customWidth="1"/>
    <col min="20" max="20" width="12" customWidth="1"/>
    <col min="21" max="21" width="23.7109375" customWidth="1"/>
    <col min="22" max="22" width="13" customWidth="1"/>
    <col min="23" max="23" width="19.140625" customWidth="1"/>
  </cols>
  <sheetData>
    <row r="1" spans="1:25" x14ac:dyDescent="0.2">
      <c r="B1" t="s">
        <v>224</v>
      </c>
    </row>
    <row r="10" spans="1:25" x14ac:dyDescent="0.2">
      <c r="C10" s="3" t="s">
        <v>264</v>
      </c>
      <c r="F10" t="s">
        <v>260</v>
      </c>
    </row>
    <row r="11" spans="1:25" x14ac:dyDescent="0.2">
      <c r="A11" t="str">
        <f>IF(C11&lt;&gt;F11,9999,"")</f>
        <v/>
      </c>
      <c r="B11" s="5" t="s">
        <v>222</v>
      </c>
      <c r="C11" s="3" t="s">
        <v>42</v>
      </c>
      <c r="D11" s="10">
        <v>51479.656600000002</v>
      </c>
      <c r="E11" s="10" t="s">
        <v>15</v>
      </c>
      <c r="F11" s="3" t="s">
        <v>42</v>
      </c>
      <c r="G11" t="s">
        <v>203</v>
      </c>
      <c r="I11" t="s">
        <v>206</v>
      </c>
      <c r="J11">
        <v>-3601.5</v>
      </c>
      <c r="K11">
        <v>-3.3E-4</v>
      </c>
      <c r="M11" s="3">
        <v>1</v>
      </c>
      <c r="O11">
        <f>VLOOKUP(D11,'Active 1'!C$21:E$68,3,FALSE)</f>
        <v>-4460.488309129255</v>
      </c>
      <c r="P11">
        <v>11</v>
      </c>
      <c r="R11" s="10">
        <v>51479.656600000002</v>
      </c>
      <c r="S11" s="10">
        <v>51479.656600000002</v>
      </c>
      <c r="T11" s="26" t="s">
        <v>38</v>
      </c>
      <c r="U11" s="86"/>
      <c r="Y11" t="str">
        <f>VLOOKUP(S11,D$11:E$46,2,FALSE)</f>
        <v>na</v>
      </c>
    </row>
    <row r="12" spans="1:25" x14ac:dyDescent="0.2">
      <c r="A12" t="s">
        <v>263</v>
      </c>
      <c r="B12" s="5" t="s">
        <v>258</v>
      </c>
      <c r="C12" s="106" t="s">
        <v>42</v>
      </c>
      <c r="D12" s="27">
        <v>52898.811500000003</v>
      </c>
      <c r="E12" s="27" t="s">
        <v>15</v>
      </c>
      <c r="F12" s="3" t="s">
        <v>42</v>
      </c>
      <c r="M12" s="3">
        <v>2</v>
      </c>
      <c r="U12" s="3"/>
      <c r="Y12" t="str">
        <f>VLOOKUP(D11,D$11:E$46,2,FALSE)</f>
        <v>na</v>
      </c>
    </row>
    <row r="13" spans="1:25" x14ac:dyDescent="0.2">
      <c r="A13" t="s">
        <v>262</v>
      </c>
      <c r="B13" s="5" t="s">
        <v>215</v>
      </c>
      <c r="C13" s="15" t="s">
        <v>40</v>
      </c>
      <c r="D13" s="10">
        <v>54049.407800000001</v>
      </c>
      <c r="E13" s="10">
        <v>2.5000000000000001E-3</v>
      </c>
      <c r="F13" s="3" t="s">
        <v>42</v>
      </c>
      <c r="G13" t="s">
        <v>203</v>
      </c>
      <c r="I13" t="s">
        <v>207</v>
      </c>
      <c r="J13">
        <v>4474.5</v>
      </c>
      <c r="K13">
        <v>-2.4399999999999999E-3</v>
      </c>
      <c r="M13" s="3">
        <v>3</v>
      </c>
      <c r="N13" s="3"/>
      <c r="O13">
        <f>VLOOKUP(D13,'Active 1'!C$21:E$68,3,FALSE)</f>
        <v>3615.4872657504538</v>
      </c>
      <c r="P13">
        <v>12</v>
      </c>
      <c r="R13" s="10">
        <v>54049.407800000001</v>
      </c>
      <c r="S13" s="42">
        <v>54049.407800000001</v>
      </c>
      <c r="T13" s="42" t="s">
        <v>39</v>
      </c>
      <c r="U13" s="86"/>
      <c r="V13" s="27">
        <v>52898.811500000003</v>
      </c>
      <c r="W13" s="26" t="s">
        <v>37</v>
      </c>
      <c r="Y13" t="str">
        <f>VLOOKUP(V13,D$11:E$46,2,FALSE)</f>
        <v>na</v>
      </c>
    </row>
    <row r="14" spans="1:25" x14ac:dyDescent="0.2">
      <c r="A14" t="str">
        <f>IF(C14&lt;&gt;F14,9999,"")</f>
        <v/>
      </c>
      <c r="B14" s="5" t="s">
        <v>216</v>
      </c>
      <c r="C14" s="3" t="s">
        <v>42</v>
      </c>
      <c r="D14" s="10">
        <v>54062.457999999999</v>
      </c>
      <c r="E14" s="10">
        <v>2.5000000000000001E-3</v>
      </c>
      <c r="F14" s="3" t="s">
        <v>42</v>
      </c>
      <c r="I14" t="s">
        <v>207</v>
      </c>
      <c r="J14">
        <v>4515.5</v>
      </c>
      <c r="K14">
        <v>1.7099999999999999E-3</v>
      </c>
      <c r="M14" s="3">
        <v>4</v>
      </c>
      <c r="N14" s="3"/>
      <c r="O14">
        <f>VLOOKUP(D14,'Active 1'!C$21:E$68,3,FALSE)</f>
        <v>3656.5002231321951</v>
      </c>
      <c r="P14">
        <v>13</v>
      </c>
      <c r="R14" s="10">
        <v>54062.457999999999</v>
      </c>
      <c r="S14" s="10">
        <v>54062.457999999999</v>
      </c>
      <c r="T14" s="83" t="s">
        <v>177</v>
      </c>
      <c r="U14" s="43"/>
      <c r="Y14">
        <f t="shared" ref="Y14:Y32" si="0">VLOOKUP(S13,D$11:E$46,2,FALSE)</f>
        <v>2.5000000000000001E-3</v>
      </c>
    </row>
    <row r="15" spans="1:25" x14ac:dyDescent="0.2">
      <c r="A15" t="str">
        <f>IF(C15&lt;&gt;F15,9999,"")</f>
        <v/>
      </c>
      <c r="B15" s="5" t="s">
        <v>216</v>
      </c>
      <c r="C15" s="3" t="s">
        <v>40</v>
      </c>
      <c r="D15" s="10">
        <v>54080.433299999997</v>
      </c>
      <c r="E15" s="10">
        <v>2.5999999999999999E-3</v>
      </c>
      <c r="F15" s="3" t="s">
        <v>40</v>
      </c>
      <c r="I15" t="s">
        <v>207</v>
      </c>
      <c r="J15">
        <v>4572</v>
      </c>
      <c r="K15">
        <v>-1.08E-3</v>
      </c>
      <c r="M15" s="3">
        <v>4</v>
      </c>
      <c r="N15" s="3"/>
      <c r="O15">
        <f>VLOOKUP(D15,'Active 1'!C$21:E$68,3,FALSE)</f>
        <v>3712.9913276994857</v>
      </c>
      <c r="P15">
        <v>14</v>
      </c>
      <c r="R15" s="10">
        <v>54080.433299999997</v>
      </c>
      <c r="S15" s="10">
        <v>54080.433299999997</v>
      </c>
      <c r="T15" s="83" t="s">
        <v>177</v>
      </c>
      <c r="U15" s="3"/>
      <c r="Y15">
        <f t="shared" si="0"/>
        <v>2.5000000000000001E-3</v>
      </c>
    </row>
    <row r="16" spans="1:25" x14ac:dyDescent="0.2">
      <c r="A16" t="str">
        <f>IF(C16&lt;&gt;F16,9999,"")</f>
        <v/>
      </c>
      <c r="B16" s="5" t="s">
        <v>216</v>
      </c>
      <c r="C16" s="3" t="s">
        <v>40</v>
      </c>
      <c r="D16" s="10">
        <v>54081.387699999999</v>
      </c>
      <c r="E16" s="10">
        <v>3.8E-3</v>
      </c>
      <c r="F16" s="3" t="s">
        <v>40</v>
      </c>
      <c r="I16" t="s">
        <v>208</v>
      </c>
      <c r="J16">
        <v>4575</v>
      </c>
      <c r="K16">
        <v>-1.2700000000000001E-3</v>
      </c>
      <c r="M16" s="3">
        <v>4</v>
      </c>
      <c r="N16" s="3"/>
      <c r="O16">
        <f>VLOOKUP(D16,'Active 1'!C$21:E$68,3,FALSE)</f>
        <v>3715.9907274424195</v>
      </c>
      <c r="P16">
        <v>15</v>
      </c>
      <c r="R16" s="10">
        <v>54081.387699999999</v>
      </c>
      <c r="S16" s="10">
        <v>54081.387699999999</v>
      </c>
      <c r="T16" s="83" t="s">
        <v>177</v>
      </c>
      <c r="U16" s="3"/>
      <c r="Y16">
        <f t="shared" si="0"/>
        <v>2.5999999999999999E-3</v>
      </c>
    </row>
    <row r="17" spans="1:25" x14ac:dyDescent="0.2">
      <c r="A17" t="str">
        <f>IF(C17&lt;&gt;F17,9999,"")</f>
        <v/>
      </c>
      <c r="B17" s="5" t="s">
        <v>216</v>
      </c>
      <c r="C17" s="3" t="s">
        <v>40</v>
      </c>
      <c r="D17" s="10">
        <v>54083.2978</v>
      </c>
      <c r="E17" s="10">
        <v>2.0999999999999999E-3</v>
      </c>
      <c r="F17" s="3" t="s">
        <v>40</v>
      </c>
      <c r="I17" t="s">
        <v>208</v>
      </c>
      <c r="J17">
        <v>4581</v>
      </c>
      <c r="K17">
        <v>-3.5E-4</v>
      </c>
      <c r="M17" s="3">
        <v>4</v>
      </c>
      <c r="N17" s="3"/>
      <c r="O17">
        <f>VLOOKUP(D17,'Active 1'!C$21:E$68,3,FALSE)</f>
        <v>3721.9936124476239</v>
      </c>
      <c r="P17">
        <v>16</v>
      </c>
      <c r="R17" s="10">
        <v>54083.2978</v>
      </c>
      <c r="S17" s="10">
        <v>54083.2978</v>
      </c>
      <c r="T17" s="83" t="s">
        <v>177</v>
      </c>
      <c r="U17" s="3"/>
      <c r="Y17">
        <f t="shared" si="0"/>
        <v>3.8E-3</v>
      </c>
    </row>
    <row r="18" spans="1:25" x14ac:dyDescent="0.2">
      <c r="A18" t="str">
        <f>IF(C18&lt;&gt;F18,9999,"")</f>
        <v/>
      </c>
      <c r="B18" s="5" t="s">
        <v>216</v>
      </c>
      <c r="C18" s="3" t="s">
        <v>42</v>
      </c>
      <c r="D18" s="10">
        <v>54083.458299999998</v>
      </c>
      <c r="E18" s="10">
        <v>1.6999999999999999E-3</v>
      </c>
      <c r="F18" s="3" t="s">
        <v>42</v>
      </c>
      <c r="I18" t="s">
        <v>208</v>
      </c>
      <c r="J18">
        <v>4581.5</v>
      </c>
      <c r="K18">
        <v>1.0499999999999999E-3</v>
      </c>
      <c r="M18" s="3">
        <v>4</v>
      </c>
      <c r="N18" s="3"/>
      <c r="O18">
        <f>VLOOKUP(D18,'Active 1'!C$21:E$68,3,FALSE)</f>
        <v>3722.4980169517457</v>
      </c>
      <c r="P18">
        <v>17</v>
      </c>
      <c r="R18" s="10">
        <v>54083.458299999998</v>
      </c>
      <c r="S18" s="10">
        <v>54083.458299999998</v>
      </c>
      <c r="T18" s="83" t="s">
        <v>177</v>
      </c>
      <c r="U18" s="3"/>
      <c r="Y18">
        <f t="shared" si="0"/>
        <v>2.0999999999999999E-3</v>
      </c>
    </row>
    <row r="19" spans="1:25" x14ac:dyDescent="0.2">
      <c r="A19" t="s">
        <v>262</v>
      </c>
      <c r="B19" s="5" t="s">
        <v>215</v>
      </c>
      <c r="C19" s="15" t="s">
        <v>40</v>
      </c>
      <c r="D19" s="10">
        <v>54084.412700000001</v>
      </c>
      <c r="E19" s="10">
        <v>2.5000000000000001E-3</v>
      </c>
      <c r="F19" s="3" t="s">
        <v>42</v>
      </c>
      <c r="G19" t="s">
        <v>203</v>
      </c>
      <c r="I19" t="s">
        <v>207</v>
      </c>
      <c r="J19">
        <v>4584.5</v>
      </c>
      <c r="K19">
        <v>8.5999999999999998E-4</v>
      </c>
      <c r="M19" s="3">
        <v>3</v>
      </c>
      <c r="N19" s="3"/>
      <c r="O19">
        <f>VLOOKUP(D19,'Active 1'!C$21:E$68,3,FALSE)</f>
        <v>3725.4974166946799</v>
      </c>
      <c r="P19">
        <v>18</v>
      </c>
      <c r="R19" s="10">
        <v>54084.412700000001</v>
      </c>
      <c r="S19" s="42">
        <v>54084.412700000001</v>
      </c>
      <c r="T19" s="42" t="s">
        <v>39</v>
      </c>
      <c r="U19" s="3"/>
      <c r="Y19">
        <f t="shared" si="0"/>
        <v>1.6999999999999999E-3</v>
      </c>
    </row>
    <row r="20" spans="1:25" x14ac:dyDescent="0.2">
      <c r="A20" t="str">
        <f>IF(C20&lt;&gt;F20,9999,"")</f>
        <v/>
      </c>
      <c r="B20" s="5" t="s">
        <v>216</v>
      </c>
      <c r="C20" s="3" t="s">
        <v>40</v>
      </c>
      <c r="D20" s="10">
        <v>54095.389300000003</v>
      </c>
      <c r="E20" s="10">
        <v>2E-3</v>
      </c>
      <c r="F20" s="3" t="s">
        <v>40</v>
      </c>
      <c r="I20" t="s">
        <v>208</v>
      </c>
      <c r="J20">
        <v>4619</v>
      </c>
      <c r="K20">
        <v>-3.1E-4</v>
      </c>
      <c r="M20" s="3">
        <v>4</v>
      </c>
      <c r="N20" s="3"/>
      <c r="O20">
        <f>VLOOKUP(D20,'Active 1'!C$21:E$68,3,FALSE)</f>
        <v>3759.9936564455315</v>
      </c>
      <c r="P20">
        <v>19</v>
      </c>
      <c r="R20" s="10">
        <v>54095.389300000003</v>
      </c>
      <c r="S20" s="10">
        <v>54095.389300000003</v>
      </c>
      <c r="T20" s="83" t="s">
        <v>177</v>
      </c>
      <c r="U20" s="43"/>
      <c r="Y20">
        <f t="shared" si="0"/>
        <v>2.5000000000000001E-3</v>
      </c>
    </row>
    <row r="21" spans="1:25" x14ac:dyDescent="0.2">
      <c r="A21" t="s">
        <v>262</v>
      </c>
      <c r="B21" s="5" t="s">
        <v>217</v>
      </c>
      <c r="C21" s="15" t="s">
        <v>40</v>
      </c>
      <c r="D21" s="10">
        <v>54507.298000000003</v>
      </c>
      <c r="E21" s="10">
        <v>0.01</v>
      </c>
      <c r="F21" s="3" t="s">
        <v>42</v>
      </c>
      <c r="G21" t="s">
        <v>203</v>
      </c>
      <c r="I21" t="s">
        <v>206</v>
      </c>
      <c r="J21">
        <v>5913.5</v>
      </c>
      <c r="K21">
        <v>3.2799999999999999E-3</v>
      </c>
      <c r="M21" s="3">
        <v>5</v>
      </c>
      <c r="N21" s="3"/>
      <c r="O21">
        <f>VLOOKUP(D21,'Active 1'!C$21:E$68,3,FALSE)</f>
        <v>5054.5020899002784</v>
      </c>
      <c r="P21">
        <v>20</v>
      </c>
      <c r="R21" s="10">
        <v>54507.298000000003</v>
      </c>
      <c r="S21" s="28">
        <v>54507.298000000003</v>
      </c>
      <c r="T21" s="42" t="s">
        <v>175</v>
      </c>
      <c r="U21" s="3"/>
      <c r="Y21">
        <f t="shared" si="0"/>
        <v>2E-3</v>
      </c>
    </row>
    <row r="22" spans="1:25" x14ac:dyDescent="0.2">
      <c r="A22" t="s">
        <v>262</v>
      </c>
      <c r="B22" s="5" t="s">
        <v>217</v>
      </c>
      <c r="C22" s="15" t="s">
        <v>40</v>
      </c>
      <c r="D22" s="10">
        <v>54808.303999999996</v>
      </c>
      <c r="E22" s="10">
        <v>0.01</v>
      </c>
      <c r="F22" s="3" t="s">
        <v>42</v>
      </c>
      <c r="G22" t="s">
        <v>203</v>
      </c>
      <c r="I22" t="s">
        <v>206</v>
      </c>
      <c r="J22">
        <v>6859.5</v>
      </c>
      <c r="K22">
        <v>-4.4200000000000003E-3</v>
      </c>
      <c r="M22" s="3">
        <v>5</v>
      </c>
      <c r="N22" s="3"/>
      <c r="O22">
        <f>VLOOKUP(D22,'Active 1'!C$21:E$68,3,FALSE)</f>
        <v>6000.4758105827295</v>
      </c>
      <c r="P22">
        <v>21</v>
      </c>
      <c r="R22" s="10">
        <v>54808.303999999996</v>
      </c>
      <c r="S22" s="42">
        <v>54808.303999999996</v>
      </c>
      <c r="T22" s="42" t="s">
        <v>175</v>
      </c>
      <c r="U22" s="43"/>
      <c r="Y22">
        <f t="shared" si="0"/>
        <v>0.01</v>
      </c>
    </row>
    <row r="23" spans="1:25" x14ac:dyDescent="0.2">
      <c r="A23" t="str">
        <f t="shared" ref="A23:A38" si="1">IF(C23&lt;&gt;F23,9999,"")</f>
        <v/>
      </c>
      <c r="B23" s="5" t="s">
        <v>255</v>
      </c>
      <c r="C23" s="3" t="s">
        <v>42</v>
      </c>
      <c r="D23" s="10">
        <v>55080.362500000003</v>
      </c>
      <c r="E23" s="10">
        <v>1E-4</v>
      </c>
      <c r="F23" s="3" t="s">
        <v>42</v>
      </c>
      <c r="I23" t="s">
        <v>209</v>
      </c>
      <c r="J23">
        <v>7714.5</v>
      </c>
      <c r="K23">
        <v>-3.7599999999999999E-3</v>
      </c>
      <c r="M23" s="3">
        <v>6</v>
      </c>
      <c r="N23" s="3"/>
      <c r="O23">
        <f>VLOOKUP(D23,'Active 1'!C$21:E$68,3,FALSE)</f>
        <v>6855.4760148587166</v>
      </c>
      <c r="P23">
        <v>22</v>
      </c>
      <c r="R23" s="10">
        <v>55080.362500000003</v>
      </c>
      <c r="S23" s="42">
        <v>55080.362500000003</v>
      </c>
      <c r="T23" s="42" t="s">
        <v>43</v>
      </c>
      <c r="U23" s="43"/>
      <c r="Y23">
        <f t="shared" si="0"/>
        <v>0.01</v>
      </c>
    </row>
    <row r="24" spans="1:25" x14ac:dyDescent="0.2">
      <c r="A24" t="str">
        <f t="shared" si="1"/>
        <v/>
      </c>
      <c r="B24" s="5" t="s">
        <v>218</v>
      </c>
      <c r="C24" s="3" t="s">
        <v>40</v>
      </c>
      <c r="D24" s="10">
        <v>55080.518199999999</v>
      </c>
      <c r="E24" s="10">
        <v>1E-4</v>
      </c>
      <c r="F24" s="3" t="s">
        <v>40</v>
      </c>
      <c r="I24" t="s">
        <v>209</v>
      </c>
      <c r="J24">
        <v>7715</v>
      </c>
      <c r="K24">
        <v>-7.1500000000000001E-3</v>
      </c>
      <c r="M24" s="3">
        <v>7</v>
      </c>
      <c r="N24" s="3"/>
      <c r="O24">
        <f>VLOOKUP(D24,'Active 1'!C$21:E$68,3,FALSE)</f>
        <v>6855.9653343683158</v>
      </c>
      <c r="P24">
        <v>23</v>
      </c>
      <c r="R24" s="10">
        <v>55080.518199999999</v>
      </c>
      <c r="S24" s="42">
        <v>55080.518199999999</v>
      </c>
      <c r="T24" s="42" t="s">
        <v>41</v>
      </c>
      <c r="U24" s="43"/>
      <c r="Y24">
        <f t="shared" si="0"/>
        <v>1E-4</v>
      </c>
    </row>
    <row r="25" spans="1:25" x14ac:dyDescent="0.2">
      <c r="A25" t="str">
        <f t="shared" si="1"/>
        <v/>
      </c>
      <c r="B25" s="5" t="s">
        <v>218</v>
      </c>
      <c r="C25" s="3" t="s">
        <v>40</v>
      </c>
      <c r="D25" s="10">
        <v>55103.427900000002</v>
      </c>
      <c r="E25" s="10">
        <v>2.9999999999999997E-4</v>
      </c>
      <c r="F25" s="3" t="s">
        <v>40</v>
      </c>
      <c r="I25" t="s">
        <v>209</v>
      </c>
      <c r="J25">
        <v>7787</v>
      </c>
      <c r="K25">
        <v>-7.5900000000000004E-3</v>
      </c>
      <c r="M25" s="3">
        <v>7</v>
      </c>
      <c r="N25" s="3"/>
      <c r="O25">
        <f>VLOOKUP(D25,'Active 1'!C$21:E$68,3,FALSE)</f>
        <v>6927.9638132980472</v>
      </c>
      <c r="P25">
        <v>24</v>
      </c>
      <c r="R25" s="10">
        <v>55103.427900000002</v>
      </c>
      <c r="S25" s="42">
        <v>55103.427900000002</v>
      </c>
      <c r="T25" s="42" t="s">
        <v>41</v>
      </c>
      <c r="U25" s="43"/>
      <c r="Y25">
        <f t="shared" si="0"/>
        <v>1E-4</v>
      </c>
    </row>
    <row r="26" spans="1:25" x14ac:dyDescent="0.2">
      <c r="A26" t="str">
        <f t="shared" si="1"/>
        <v/>
      </c>
      <c r="B26" s="5" t="s">
        <v>218</v>
      </c>
      <c r="C26" s="3" t="s">
        <v>42</v>
      </c>
      <c r="D26" s="10">
        <v>55103.5887</v>
      </c>
      <c r="E26" s="10">
        <v>4.0000000000000002E-4</v>
      </c>
      <c r="F26" s="3" t="s">
        <v>42</v>
      </c>
      <c r="I26" t="s">
        <v>209</v>
      </c>
      <c r="J26">
        <v>7787.5</v>
      </c>
      <c r="K26">
        <v>-5.8900000000000003E-3</v>
      </c>
      <c r="M26" s="3">
        <v>7</v>
      </c>
      <c r="N26" s="3"/>
      <c r="O26">
        <f>VLOOKUP(D26,'Active 1'!C$21:E$68,3,FALSE)</f>
        <v>6928.4691606143251</v>
      </c>
      <c r="P26">
        <v>25</v>
      </c>
      <c r="R26" s="10">
        <v>55103.5887</v>
      </c>
      <c r="S26" s="42">
        <v>55103.5887</v>
      </c>
      <c r="T26" s="42" t="s">
        <v>41</v>
      </c>
      <c r="U26" s="43"/>
      <c r="Y26">
        <f t="shared" si="0"/>
        <v>2.9999999999999997E-4</v>
      </c>
    </row>
    <row r="27" spans="1:25" x14ac:dyDescent="0.2">
      <c r="A27" t="str">
        <f t="shared" si="1"/>
        <v/>
      </c>
      <c r="B27" s="5" t="s">
        <v>218</v>
      </c>
      <c r="C27" s="3" t="s">
        <v>42</v>
      </c>
      <c r="D27" s="10">
        <v>55144.318899999998</v>
      </c>
      <c r="E27" s="10">
        <v>8.0000000000000004E-4</v>
      </c>
      <c r="F27" s="3" t="s">
        <v>42</v>
      </c>
      <c r="I27" t="s">
        <v>209</v>
      </c>
      <c r="J27">
        <v>7915.5</v>
      </c>
      <c r="K27">
        <v>-4.81E-3</v>
      </c>
      <c r="M27" s="3">
        <v>7</v>
      </c>
      <c r="N27" s="3"/>
      <c r="O27">
        <f>VLOOKUP(D27,'Active 1'!C$21:E$68,3,FALSE)</f>
        <v>7056.472253038195</v>
      </c>
      <c r="P27">
        <v>26</v>
      </c>
      <c r="R27" s="10">
        <v>55144.318899999998</v>
      </c>
      <c r="S27" s="42">
        <v>55144.318899999998</v>
      </c>
      <c r="T27" s="42" t="s">
        <v>41</v>
      </c>
      <c r="U27" s="43"/>
      <c r="Y27">
        <f t="shared" si="0"/>
        <v>4.0000000000000002E-4</v>
      </c>
    </row>
    <row r="28" spans="1:25" x14ac:dyDescent="0.2">
      <c r="A28" t="str">
        <f t="shared" si="1"/>
        <v/>
      </c>
      <c r="B28" s="5" t="s">
        <v>255</v>
      </c>
      <c r="C28" s="3" t="s">
        <v>42</v>
      </c>
      <c r="D28" s="10">
        <v>55392.507100000003</v>
      </c>
      <c r="E28" s="10">
        <v>2.9999999999999997E-4</v>
      </c>
      <c r="F28" s="3" t="s">
        <v>42</v>
      </c>
      <c r="I28" t="s">
        <v>209</v>
      </c>
      <c r="J28">
        <v>8695.5</v>
      </c>
      <c r="K28">
        <v>-9.7300000000000008E-3</v>
      </c>
      <c r="M28" s="3">
        <v>6</v>
      </c>
      <c r="N28" s="3"/>
      <c r="O28">
        <f>VLOOKUP(D28,'Active 1'!C$21:E$68,3,FALSE)</f>
        <v>7836.4550938569464</v>
      </c>
      <c r="P28">
        <v>27</v>
      </c>
      <c r="R28" s="10">
        <v>55392.507100000003</v>
      </c>
      <c r="S28" s="42">
        <v>55392.507100000003</v>
      </c>
      <c r="T28" s="42" t="s">
        <v>43</v>
      </c>
      <c r="U28" s="43"/>
      <c r="Y28">
        <f t="shared" si="0"/>
        <v>8.0000000000000004E-4</v>
      </c>
    </row>
    <row r="29" spans="1:25" x14ac:dyDescent="0.2">
      <c r="A29" t="str">
        <f t="shared" si="1"/>
        <v/>
      </c>
      <c r="B29" s="5" t="s">
        <v>219</v>
      </c>
      <c r="C29" s="3" t="s">
        <v>42</v>
      </c>
      <c r="D29" s="10">
        <v>55487.329400000002</v>
      </c>
      <c r="E29" s="10">
        <v>2.0000000000000001E-4</v>
      </c>
      <c r="F29" s="3" t="s">
        <v>42</v>
      </c>
      <c r="I29" t="s">
        <v>209</v>
      </c>
      <c r="J29">
        <v>8993.5</v>
      </c>
      <c r="K29">
        <v>-9.92E-3</v>
      </c>
      <c r="M29" s="3">
        <v>8</v>
      </c>
      <c r="N29" s="3"/>
      <c r="O29">
        <f>VLOOKUP(D29,'Active 1'!C$21:E$68,3,FALSE)</f>
        <v>8134.4538179178262</v>
      </c>
      <c r="P29">
        <v>28</v>
      </c>
      <c r="R29" s="10">
        <v>55487.329400000002</v>
      </c>
      <c r="S29" s="84">
        <v>55487.329400000002</v>
      </c>
      <c r="T29" s="45" t="s">
        <v>50</v>
      </c>
      <c r="U29" s="43"/>
      <c r="Y29">
        <f t="shared" si="0"/>
        <v>2.9999999999999997E-4</v>
      </c>
    </row>
    <row r="30" spans="1:25" x14ac:dyDescent="0.2">
      <c r="A30" t="str">
        <f t="shared" si="1"/>
        <v/>
      </c>
      <c r="B30" s="5" t="s">
        <v>219</v>
      </c>
      <c r="C30" s="3" t="s">
        <v>40</v>
      </c>
      <c r="D30" s="10">
        <v>55487.488899999997</v>
      </c>
      <c r="E30" s="10">
        <v>1E-4</v>
      </c>
      <c r="F30" s="3" t="s">
        <v>40</v>
      </c>
      <c r="I30" t="s">
        <v>210</v>
      </c>
      <c r="J30">
        <v>8994</v>
      </c>
      <c r="K30">
        <v>-9.5200000000000007E-3</v>
      </c>
      <c r="M30" s="3">
        <v>8</v>
      </c>
      <c r="N30" s="3"/>
      <c r="O30">
        <f>VLOOKUP(D30,'Active 1'!C$21:E$68,3,FALSE)</f>
        <v>8134.9550797147458</v>
      </c>
      <c r="P30">
        <v>29</v>
      </c>
      <c r="R30" s="10">
        <v>55487.488899999997</v>
      </c>
      <c r="S30" s="47">
        <v>55487.488899999997</v>
      </c>
      <c r="T30" s="45" t="s">
        <v>50</v>
      </c>
      <c r="U30" s="46"/>
      <c r="Y30">
        <f t="shared" si="0"/>
        <v>2.0000000000000001E-4</v>
      </c>
    </row>
    <row r="31" spans="1:25" x14ac:dyDescent="0.2">
      <c r="A31" t="str">
        <f t="shared" si="1"/>
        <v/>
      </c>
      <c r="B31" s="5" t="s">
        <v>223</v>
      </c>
      <c r="C31" s="3" t="s">
        <v>42</v>
      </c>
      <c r="D31" s="10">
        <v>55509.284119999997</v>
      </c>
      <c r="E31" s="10">
        <v>2.5000000000000001E-4</v>
      </c>
      <c r="F31" s="3" t="s">
        <v>42</v>
      </c>
      <c r="I31" t="s">
        <v>209</v>
      </c>
      <c r="J31">
        <v>9062.5</v>
      </c>
      <c r="K31">
        <v>-1.0749999999999999E-2</v>
      </c>
      <c r="M31" s="3">
        <v>9</v>
      </c>
      <c r="N31" s="3"/>
      <c r="O31">
        <f>VLOOKUP(D31,'Active 1'!C$21:E$68,3,FALSE)</f>
        <v>8203.4510743344308</v>
      </c>
      <c r="P31">
        <v>30</v>
      </c>
      <c r="R31" s="10">
        <v>55509.284119999997</v>
      </c>
      <c r="S31" s="10">
        <v>55509.284119999997</v>
      </c>
      <c r="T31" s="68" t="s">
        <v>223</v>
      </c>
      <c r="U31" s="87"/>
      <c r="Y31">
        <f t="shared" si="0"/>
        <v>1E-4</v>
      </c>
    </row>
    <row r="32" spans="1:25" x14ac:dyDescent="0.2">
      <c r="A32" t="str">
        <f t="shared" si="1"/>
        <v/>
      </c>
      <c r="B32" s="5" t="s">
        <v>219</v>
      </c>
      <c r="C32" s="3" t="s">
        <v>40</v>
      </c>
      <c r="D32" s="10">
        <v>55509.444000000003</v>
      </c>
      <c r="E32" s="10">
        <v>8.0000000000000004E-4</v>
      </c>
      <c r="F32" s="3" t="s">
        <v>40</v>
      </c>
      <c r="I32" t="s">
        <v>209</v>
      </c>
      <c r="J32">
        <v>9063</v>
      </c>
      <c r="K32">
        <v>-9.9699999999999997E-3</v>
      </c>
      <c r="M32" s="3">
        <v>8</v>
      </c>
      <c r="N32" s="3"/>
      <c r="O32">
        <f>VLOOKUP(D32,'Active 1'!C$21:E$68,3,FALSE)</f>
        <v>8203.9535303601206</v>
      </c>
      <c r="P32">
        <v>31</v>
      </c>
      <c r="R32" s="10">
        <v>55509.444000000003</v>
      </c>
      <c r="S32" s="47">
        <v>55509.444000000003</v>
      </c>
      <c r="T32" s="45" t="s">
        <v>50</v>
      </c>
      <c r="U32" s="46"/>
      <c r="Y32">
        <f t="shared" si="0"/>
        <v>2.5000000000000001E-4</v>
      </c>
    </row>
    <row r="33" spans="1:25" x14ac:dyDescent="0.2">
      <c r="A33" t="str">
        <f t="shared" si="1"/>
        <v/>
      </c>
      <c r="B33" s="5" t="s">
        <v>219</v>
      </c>
      <c r="C33" s="3" t="s">
        <v>42</v>
      </c>
      <c r="D33" s="10">
        <v>55528.376799999998</v>
      </c>
      <c r="E33" s="10">
        <v>6.0000000000000002E-5</v>
      </c>
      <c r="F33" s="3" t="s">
        <v>42</v>
      </c>
      <c r="I33" t="s">
        <v>209</v>
      </c>
      <c r="J33">
        <v>9122.5</v>
      </c>
      <c r="K33">
        <v>-9.8499999999999994E-3</v>
      </c>
      <c r="M33" s="3">
        <v>8</v>
      </c>
      <c r="N33" s="3"/>
      <c r="O33">
        <f>VLOOKUP(D33,'Active 1'!C$21:E$68,3,FALSE)</f>
        <v>8263.4537770626193</v>
      </c>
      <c r="P33">
        <v>32</v>
      </c>
      <c r="R33" s="10">
        <v>55528.376799999998</v>
      </c>
      <c r="S33" s="47">
        <v>55528.376799999998</v>
      </c>
      <c r="T33" s="45" t="s">
        <v>50</v>
      </c>
      <c r="U33" s="3"/>
      <c r="Y33" t="e">
        <f>VLOOKUP(#REF!,D$11:E$46,2,FALSE)</f>
        <v>#REF!</v>
      </c>
    </row>
    <row r="34" spans="1:25" x14ac:dyDescent="0.2">
      <c r="A34" t="str">
        <f t="shared" si="1"/>
        <v/>
      </c>
      <c r="B34" s="5" t="s">
        <v>223</v>
      </c>
      <c r="C34" s="3" t="s">
        <v>42</v>
      </c>
      <c r="D34" s="10">
        <v>55538.241670000003</v>
      </c>
      <c r="E34" s="10">
        <v>6.0000000000000002E-5</v>
      </c>
      <c r="F34" s="3" t="s">
        <v>42</v>
      </c>
      <c r="I34" t="s">
        <v>209</v>
      </c>
      <c r="J34">
        <v>9153.5</v>
      </c>
      <c r="K34">
        <v>-9.0600000000000003E-3</v>
      </c>
      <c r="M34" s="3">
        <v>9</v>
      </c>
      <c r="N34" s="3"/>
      <c r="O34">
        <f>VLOOKUP(D34,'Active 1'!C$21:E$68,3,FALSE)</f>
        <v>8294.4561749482218</v>
      </c>
      <c r="P34">
        <v>33</v>
      </c>
      <c r="R34" s="10">
        <v>55538.241670000003</v>
      </c>
      <c r="S34" s="10">
        <v>55538.241670000003</v>
      </c>
      <c r="T34" s="68" t="s">
        <v>223</v>
      </c>
      <c r="U34" s="44"/>
      <c r="Y34">
        <f>VLOOKUP(S32,D$11:E$46,2,FALSE)</f>
        <v>8.0000000000000004E-4</v>
      </c>
    </row>
    <row r="35" spans="1:25" x14ac:dyDescent="0.2">
      <c r="A35" t="str">
        <f t="shared" si="1"/>
        <v/>
      </c>
      <c r="B35" s="5" t="s">
        <v>219</v>
      </c>
      <c r="C35" s="3" t="s">
        <v>42</v>
      </c>
      <c r="D35" s="10">
        <v>55551.287199999999</v>
      </c>
      <c r="E35" s="10">
        <v>1E-4</v>
      </c>
      <c r="F35" s="3" t="s">
        <v>42</v>
      </c>
      <c r="I35" t="s">
        <v>209</v>
      </c>
      <c r="J35">
        <v>9194.5</v>
      </c>
      <c r="K35">
        <v>-9.58E-3</v>
      </c>
      <c r="M35" s="3">
        <v>8</v>
      </c>
      <c r="N35" s="3"/>
      <c r="O35">
        <f>VLOOKUP(D35,'Active 1'!C$21:E$68,3,FALSE)</f>
        <v>8335.4544558873749</v>
      </c>
      <c r="P35">
        <v>34</v>
      </c>
      <c r="R35" s="10">
        <v>55551.287199999999</v>
      </c>
      <c r="S35" s="47">
        <v>55551.287199999999</v>
      </c>
      <c r="T35" s="45" t="s">
        <v>50</v>
      </c>
      <c r="U35" s="46"/>
      <c r="Y35">
        <f>VLOOKUP(S34,D$11:E$46,2,FALSE)</f>
        <v>6.0000000000000002E-5</v>
      </c>
    </row>
    <row r="36" spans="1:25" x14ac:dyDescent="0.2">
      <c r="A36" t="str">
        <f t="shared" si="1"/>
        <v/>
      </c>
      <c r="B36" s="5" t="s">
        <v>219</v>
      </c>
      <c r="C36" s="3" t="s">
        <v>42</v>
      </c>
      <c r="D36" s="10">
        <v>55553.196199999998</v>
      </c>
      <c r="E36" s="10">
        <v>1E-4</v>
      </c>
      <c r="F36" s="3" t="s">
        <v>42</v>
      </c>
      <c r="I36" t="s">
        <v>209</v>
      </c>
      <c r="J36">
        <v>9200.5</v>
      </c>
      <c r="K36">
        <v>-9.7599999999999996E-3</v>
      </c>
      <c r="M36" s="3">
        <v>8</v>
      </c>
      <c r="N36" s="3"/>
      <c r="O36">
        <f>VLOOKUP(D36,'Active 1'!C$21:E$68,3,FALSE)</f>
        <v>8341.4538839146644</v>
      </c>
      <c r="P36">
        <v>35</v>
      </c>
      <c r="R36" s="10">
        <v>55553.196199999998</v>
      </c>
      <c r="S36" s="47">
        <v>55553.196199999998</v>
      </c>
      <c r="T36" s="45" t="s">
        <v>50</v>
      </c>
      <c r="U36" s="46"/>
      <c r="Y36">
        <f>VLOOKUP(S33,D$11:E$46,2,FALSE)</f>
        <v>6.0000000000000002E-5</v>
      </c>
    </row>
    <row r="37" spans="1:25" x14ac:dyDescent="0.2">
      <c r="A37" t="str">
        <f t="shared" si="1"/>
        <v/>
      </c>
      <c r="B37" s="5" t="s">
        <v>223</v>
      </c>
      <c r="C37" s="3" t="s">
        <v>40</v>
      </c>
      <c r="D37" s="10">
        <v>55553.353020000002</v>
      </c>
      <c r="E37" s="10">
        <v>6.9999999999999994E-5</v>
      </c>
      <c r="F37" s="3" t="s">
        <v>40</v>
      </c>
      <c r="I37" t="s">
        <v>211</v>
      </c>
      <c r="J37">
        <v>9201</v>
      </c>
      <c r="K37">
        <v>-1.204E-2</v>
      </c>
      <c r="M37" s="3">
        <v>9</v>
      </c>
      <c r="N37" s="3"/>
      <c r="O37">
        <f>VLOOKUP(D37,'Active 1'!C$21:E$68,3,FALSE)</f>
        <v>8341.946723256342</v>
      </c>
      <c r="P37">
        <v>36</v>
      </c>
      <c r="R37" s="10">
        <v>55553.353020000002</v>
      </c>
      <c r="S37" s="10">
        <v>55553.353020000002</v>
      </c>
      <c r="T37" s="68" t="s">
        <v>223</v>
      </c>
      <c r="U37" s="44"/>
      <c r="Y37" t="e">
        <f>VLOOKUP(#REF!,D$11:E$46,2,FALSE)</f>
        <v>#REF!</v>
      </c>
    </row>
    <row r="38" spans="1:25" x14ac:dyDescent="0.2">
      <c r="A38" t="str">
        <f t="shared" si="1"/>
        <v/>
      </c>
      <c r="B38" s="103" t="s">
        <v>220</v>
      </c>
      <c r="C38" s="3" t="s">
        <v>42</v>
      </c>
      <c r="D38" s="10">
        <v>56167.946000000004</v>
      </c>
      <c r="E38" s="10">
        <v>2E-3</v>
      </c>
      <c r="F38" s="3" t="s">
        <v>42</v>
      </c>
      <c r="I38" t="s">
        <v>212</v>
      </c>
      <c r="J38">
        <v>11132.5</v>
      </c>
      <c r="K38">
        <v>-1.521E-2</v>
      </c>
      <c r="M38" s="3">
        <v>10</v>
      </c>
      <c r="N38" s="3"/>
      <c r="O38">
        <f>VLOOKUP(D38,'Active 1'!C$21:E$68,3,FALSE)</f>
        <v>10273.432500934954</v>
      </c>
      <c r="P38">
        <v>37</v>
      </c>
      <c r="R38" s="10">
        <v>56167.946000000004</v>
      </c>
      <c r="S38" s="96">
        <v>56167.946000000004</v>
      </c>
      <c r="T38" s="97" t="s">
        <v>52</v>
      </c>
      <c r="U38" s="46"/>
      <c r="Y38">
        <f>VLOOKUP(S37,D$11:E$46,2,FALSE)</f>
        <v>6.9999999999999994E-5</v>
      </c>
    </row>
    <row r="39" spans="1:25" x14ac:dyDescent="0.2">
      <c r="A39" t="s">
        <v>262</v>
      </c>
      <c r="B39" s="5" t="s">
        <v>221</v>
      </c>
      <c r="C39" s="15" t="s">
        <v>40</v>
      </c>
      <c r="D39" s="10">
        <v>56279.6322</v>
      </c>
      <c r="E39" s="10">
        <v>1E-4</v>
      </c>
      <c r="F39" s="3" t="s">
        <v>42</v>
      </c>
      <c r="G39" t="s">
        <v>203</v>
      </c>
      <c r="I39" t="s">
        <v>207</v>
      </c>
      <c r="J39">
        <v>11483.5</v>
      </c>
      <c r="K39">
        <v>-1.5910000000000001E-2</v>
      </c>
      <c r="M39" s="3">
        <v>11</v>
      </c>
      <c r="N39" s="3"/>
      <c r="O39">
        <f>VLOOKUP(D39,'Active 1'!C$21:E$68,3,FALSE)</f>
        <v>10624.429524791234</v>
      </c>
      <c r="P39">
        <v>38</v>
      </c>
      <c r="R39" s="10">
        <v>56279.6322</v>
      </c>
      <c r="S39" s="27">
        <v>56279.6322</v>
      </c>
      <c r="T39" s="50" t="s">
        <v>51</v>
      </c>
      <c r="U39" s="46"/>
      <c r="Y39">
        <f>VLOOKUP(S35,D$11:E$46,2,FALSE)</f>
        <v>1E-4</v>
      </c>
    </row>
    <row r="40" spans="1:25" x14ac:dyDescent="0.2">
      <c r="A40" t="str">
        <f>IF(C40&lt;&gt;F40,9999,"")</f>
        <v/>
      </c>
      <c r="B40" s="99" t="s">
        <v>229</v>
      </c>
      <c r="C40" s="3" t="s">
        <v>40</v>
      </c>
      <c r="D40" s="10">
        <v>56514.935799999999</v>
      </c>
      <c r="E40" s="10">
        <v>2.0000000000000001E-4</v>
      </c>
      <c r="F40" s="3" t="s">
        <v>40</v>
      </c>
      <c r="I40" t="s">
        <v>212</v>
      </c>
      <c r="J40">
        <v>12223</v>
      </c>
      <c r="K40">
        <v>-1.847E-2</v>
      </c>
      <c r="M40" s="104">
        <v>12</v>
      </c>
      <c r="N40" s="3"/>
      <c r="O40">
        <f>VLOOKUP(D40,'Active 1'!C$21:E$68,3,FALSE)</f>
        <v>11363.919840539023</v>
      </c>
      <c r="P40">
        <v>39</v>
      </c>
      <c r="R40" s="10">
        <v>56514.935799999999</v>
      </c>
      <c r="S40" s="92">
        <v>56514.935799999999</v>
      </c>
      <c r="T40" s="93" t="s">
        <v>54</v>
      </c>
      <c r="U40" s="46"/>
      <c r="Y40">
        <f>VLOOKUP(S36,D$11:E$46,2,FALSE)</f>
        <v>1E-4</v>
      </c>
    </row>
    <row r="41" spans="1:25" ht="13.5" thickBot="1" x14ac:dyDescent="0.25">
      <c r="A41" t="s">
        <v>263</v>
      </c>
      <c r="B41" s="5" t="s">
        <v>244</v>
      </c>
      <c r="D41" s="69">
        <v>56516.525999999998</v>
      </c>
      <c r="E41" s="10">
        <v>7.0000000000000001E-3</v>
      </c>
      <c r="F41" s="3" t="s">
        <v>40</v>
      </c>
      <c r="M41" s="104">
        <v>14</v>
      </c>
      <c r="N41" s="3"/>
      <c r="U41" s="68" t="s">
        <v>130</v>
      </c>
      <c r="Y41">
        <f>VLOOKUP(S36,D$11:E$46,2,FALSE)</f>
        <v>1E-4</v>
      </c>
    </row>
    <row r="42" spans="1:25" ht="13.5" thickBot="1" x14ac:dyDescent="0.25">
      <c r="A42" t="s">
        <v>262</v>
      </c>
      <c r="B42" s="99" t="s">
        <v>229</v>
      </c>
      <c r="C42" s="107" t="s">
        <v>261</v>
      </c>
      <c r="D42" s="10">
        <v>56526.8681</v>
      </c>
      <c r="E42" s="10">
        <v>2.9999999999999997E-4</v>
      </c>
      <c r="F42" s="3" t="s">
        <v>42</v>
      </c>
      <c r="G42" t="s">
        <v>203</v>
      </c>
      <c r="I42" t="s">
        <v>212</v>
      </c>
      <c r="J42">
        <v>12260.5</v>
      </c>
      <c r="K42">
        <v>-1.8540000000000001E-2</v>
      </c>
      <c r="M42" s="104">
        <v>12</v>
      </c>
      <c r="N42" s="3"/>
      <c r="O42">
        <f>VLOOKUP(D42,'Active 1'!C$21:E$68,3,FALSE)</f>
        <v>11401.419565552145</v>
      </c>
      <c r="P42">
        <v>40</v>
      </c>
      <c r="R42" s="10">
        <v>56526.8681</v>
      </c>
      <c r="S42" s="91">
        <v>56526.8681</v>
      </c>
      <c r="T42" s="94" t="s">
        <v>54</v>
      </c>
      <c r="U42" s="3"/>
      <c r="Y42" t="e">
        <f>VLOOKUP(#REF!,D$11:E$46,2,FALSE)</f>
        <v>#REF!</v>
      </c>
    </row>
    <row r="43" spans="1:25" x14ac:dyDescent="0.2">
      <c r="A43" t="str">
        <f>IF(C43&lt;&gt;F43,9999,"")</f>
        <v/>
      </c>
      <c r="B43" s="99" t="s">
        <v>229</v>
      </c>
      <c r="C43" s="3" t="s">
        <v>40</v>
      </c>
      <c r="D43" s="10">
        <v>56535.936399999999</v>
      </c>
      <c r="E43" s="10">
        <v>1E-4</v>
      </c>
      <c r="F43" s="3" t="s">
        <v>40</v>
      </c>
      <c r="G43" t="s">
        <v>204</v>
      </c>
      <c r="I43" t="s">
        <v>213</v>
      </c>
      <c r="J43">
        <v>12289</v>
      </c>
      <c r="K43">
        <v>-1.883E-2</v>
      </c>
      <c r="M43" s="104">
        <v>12</v>
      </c>
      <c r="N43" s="3"/>
      <c r="O43">
        <f>VLOOKUP(D43,'Active 1'!C$21:E$68,3,FALSE)</f>
        <v>11429.918577170731</v>
      </c>
      <c r="P43">
        <v>41</v>
      </c>
      <c r="R43" s="10">
        <v>56535.936399999999</v>
      </c>
      <c r="S43" s="91">
        <v>56535.936399999999</v>
      </c>
      <c r="T43" s="94" t="s">
        <v>54</v>
      </c>
      <c r="U43" s="44"/>
      <c r="Y43" t="e">
        <f>VLOOKUP(D49,D$11:E$46,2,FALSE)</f>
        <v>#N/A</v>
      </c>
    </row>
    <row r="44" spans="1:25" x14ac:dyDescent="0.2">
      <c r="A44" t="str">
        <f>IF(C44&lt;&gt;F44,9999,"")</f>
        <v/>
      </c>
      <c r="B44" s="99" t="s">
        <v>229</v>
      </c>
      <c r="C44" s="3" t="s">
        <v>42</v>
      </c>
      <c r="D44" s="10">
        <v>56560.914499999999</v>
      </c>
      <c r="E44" s="10">
        <v>2.0000000000000001E-4</v>
      </c>
      <c r="F44" s="3" t="s">
        <v>42</v>
      </c>
      <c r="G44" t="s">
        <v>204</v>
      </c>
      <c r="I44" t="s">
        <v>213</v>
      </c>
      <c r="J44">
        <v>12367.5</v>
      </c>
      <c r="K44">
        <v>-1.9140000000000001E-2</v>
      </c>
      <c r="M44" s="104">
        <v>12</v>
      </c>
      <c r="N44" s="3"/>
      <c r="O44">
        <f>VLOOKUP(D44,'Active 1'!C$21:E$68,3,FALSE)</f>
        <v>11508.417431653961</v>
      </c>
      <c r="P44">
        <v>42</v>
      </c>
      <c r="R44" s="10">
        <v>56560.914499999999</v>
      </c>
      <c r="S44" s="92">
        <v>56560.914499999999</v>
      </c>
      <c r="T44" s="93" t="s">
        <v>54</v>
      </c>
      <c r="U44" s="51"/>
      <c r="Y44">
        <f>VLOOKUP(S39,D$11:E$46,2,FALSE)</f>
        <v>1E-4</v>
      </c>
    </row>
    <row r="45" spans="1:25" x14ac:dyDescent="0.2">
      <c r="A45" t="str">
        <f>IF(C45&lt;&gt;F45,9999,"")</f>
        <v/>
      </c>
      <c r="B45" s="99" t="s">
        <v>229</v>
      </c>
      <c r="C45" s="3" t="s">
        <v>42</v>
      </c>
      <c r="D45" s="10">
        <v>56579.688499999997</v>
      </c>
      <c r="E45" s="10">
        <v>1E-4</v>
      </c>
      <c r="F45" s="3" t="s">
        <v>42</v>
      </c>
      <c r="G45" t="s">
        <v>204</v>
      </c>
      <c r="I45" t="s">
        <v>213</v>
      </c>
      <c r="J45">
        <v>12426.5</v>
      </c>
      <c r="K45">
        <v>-1.8720000000000001E-2</v>
      </c>
      <c r="M45" s="104">
        <v>12</v>
      </c>
      <c r="N45" s="3"/>
      <c r="O45">
        <f>VLOOKUP(D45,'Active 1'!C$21:E$68,3,FALSE)</f>
        <v>11567.418616454564</v>
      </c>
      <c r="P45">
        <v>43</v>
      </c>
      <c r="R45" s="10">
        <v>56579.688499999997</v>
      </c>
      <c r="S45" s="91">
        <v>56579.688499999997</v>
      </c>
      <c r="T45" s="94" t="s">
        <v>54</v>
      </c>
      <c r="U45" s="49"/>
      <c r="Y45">
        <f>VLOOKUP(S40,D$11:E$46,2,FALSE)</f>
        <v>2.0000000000000001E-4</v>
      </c>
    </row>
    <row r="46" spans="1:25" x14ac:dyDescent="0.2">
      <c r="A46" t="str">
        <f>IF(C46&lt;&gt;F46,9999,"")</f>
        <v/>
      </c>
      <c r="B46" s="99" t="s">
        <v>229</v>
      </c>
      <c r="C46" s="3" t="s">
        <v>40</v>
      </c>
      <c r="D46" s="10">
        <v>56579.847500000003</v>
      </c>
      <c r="E46" s="10">
        <v>1E-4</v>
      </c>
      <c r="F46" s="3" t="s">
        <v>40</v>
      </c>
      <c r="G46" t="s">
        <v>204</v>
      </c>
      <c r="I46" t="s">
        <v>213</v>
      </c>
      <c r="J46">
        <v>12427</v>
      </c>
      <c r="K46">
        <v>-1.882E-2</v>
      </c>
      <c r="M46" s="104">
        <v>12</v>
      </c>
      <c r="N46" s="3"/>
      <c r="O46">
        <f>VLOOKUP(D46,'Active 1'!C$21:E$68,3,FALSE)</f>
        <v>11567.918306897927</v>
      </c>
      <c r="P46">
        <v>44</v>
      </c>
      <c r="R46" s="10">
        <v>56579.847500000003</v>
      </c>
      <c r="S46" s="91">
        <v>56579.847500000003</v>
      </c>
      <c r="T46" s="94" t="s">
        <v>54</v>
      </c>
      <c r="U46" s="87"/>
      <c r="V46" s="27"/>
      <c r="W46" s="48"/>
      <c r="Y46" t="e">
        <f>VLOOKUP(S41,D$11:E$46,2,FALSE)</f>
        <v>#N/A</v>
      </c>
    </row>
    <row r="47" spans="1:25" x14ac:dyDescent="0.2">
      <c r="A47" t="s">
        <v>262</v>
      </c>
      <c r="B47" s="5" t="s">
        <v>257</v>
      </c>
      <c r="C47" s="15" t="s">
        <v>40</v>
      </c>
      <c r="D47" s="10">
        <v>56630.281000000003</v>
      </c>
      <c r="E47" s="10">
        <v>2.5000000000000001E-3</v>
      </c>
      <c r="F47" s="3" t="s">
        <v>42</v>
      </c>
      <c r="G47" t="s">
        <v>203</v>
      </c>
      <c r="I47" t="s">
        <v>214</v>
      </c>
      <c r="J47">
        <v>12585.5</v>
      </c>
      <c r="K47">
        <v>-1.9429999999999999E-2</v>
      </c>
      <c r="M47" s="3">
        <v>13</v>
      </c>
      <c r="N47" s="3"/>
      <c r="O47">
        <f>VLOOKUP(D47,'Active 1'!C$21:E$68,3,FALSE)</f>
        <v>11726.416030006565</v>
      </c>
      <c r="P47">
        <v>45</v>
      </c>
      <c r="R47" s="10">
        <v>56630.281000000003</v>
      </c>
      <c r="S47" s="27">
        <v>56630.281000000003</v>
      </c>
      <c r="T47" s="45" t="s">
        <v>55</v>
      </c>
      <c r="U47" s="44"/>
      <c r="Y47" t="e">
        <f>VLOOKUP(V46,D$11:E$46,2,FALSE)</f>
        <v>#N/A</v>
      </c>
    </row>
    <row r="48" spans="1:25" x14ac:dyDescent="0.2">
      <c r="A48" t="s">
        <v>262</v>
      </c>
      <c r="B48" s="5" t="s">
        <v>257</v>
      </c>
      <c r="C48" s="15" t="s">
        <v>42</v>
      </c>
      <c r="D48" s="10">
        <v>56630.440600000002</v>
      </c>
      <c r="E48" s="10">
        <v>1.8E-3</v>
      </c>
      <c r="F48" s="3" t="s">
        <v>40</v>
      </c>
      <c r="G48" t="s">
        <v>205</v>
      </c>
      <c r="I48" t="s">
        <v>214</v>
      </c>
      <c r="J48">
        <v>12586</v>
      </c>
      <c r="K48">
        <v>-1.8929999999999999E-2</v>
      </c>
      <c r="M48" s="3">
        <v>13</v>
      </c>
      <c r="N48" s="3"/>
      <c r="O48">
        <f>VLOOKUP(D48,'Active 1'!C$21:E$68,3,FALSE)</f>
        <v>11726.917606074217</v>
      </c>
      <c r="P48">
        <v>46</v>
      </c>
      <c r="R48" s="10">
        <v>56630.440600000002</v>
      </c>
      <c r="S48" s="27">
        <v>56630.440600000002</v>
      </c>
      <c r="T48" s="45" t="s">
        <v>55</v>
      </c>
      <c r="U48" s="49"/>
      <c r="Y48">
        <f>VLOOKUP(S42,D$11:E$46,2,FALSE)</f>
        <v>2.9999999999999997E-4</v>
      </c>
    </row>
    <row r="49" spans="1:25" x14ac:dyDescent="0.2">
      <c r="A49" t="s">
        <v>263</v>
      </c>
      <c r="B49" s="99" t="s">
        <v>231</v>
      </c>
      <c r="D49" s="91">
        <v>56928.746099999997</v>
      </c>
      <c r="E49" s="10">
        <v>2.0000000000000001E-4</v>
      </c>
      <c r="F49" s="3" t="s">
        <v>42</v>
      </c>
      <c r="M49" s="104">
        <v>15</v>
      </c>
      <c r="N49" s="3"/>
      <c r="U49" s="94" t="s">
        <v>66</v>
      </c>
      <c r="Y49">
        <f>VLOOKUP(S44,D$11:E$46,2,FALSE)</f>
        <v>2.0000000000000001E-4</v>
      </c>
    </row>
    <row r="50" spans="1:25" x14ac:dyDescent="0.2">
      <c r="A50" t="s">
        <v>263</v>
      </c>
      <c r="B50" s="5" t="s">
        <v>232</v>
      </c>
      <c r="D50" s="81">
        <v>56949.109800000209</v>
      </c>
      <c r="E50" s="102" t="s">
        <v>15</v>
      </c>
      <c r="F50" s="3" t="s">
        <v>42</v>
      </c>
      <c r="M50" s="104">
        <v>16</v>
      </c>
      <c r="N50" s="3"/>
      <c r="U50" s="68" t="s">
        <v>160</v>
      </c>
      <c r="Y50" t="e">
        <f>VLOOKUP(#REF!,D$11:E$46,2,FALSE)</f>
        <v>#REF!</v>
      </c>
    </row>
    <row r="51" spans="1:25" x14ac:dyDescent="0.2">
      <c r="A51" t="s">
        <v>263</v>
      </c>
      <c r="B51" s="5" t="s">
        <v>232</v>
      </c>
      <c r="D51" s="81">
        <v>56949.27</v>
      </c>
      <c r="E51" s="102" t="s">
        <v>15</v>
      </c>
      <c r="F51" s="3" t="s">
        <v>40</v>
      </c>
      <c r="M51" s="104">
        <v>16</v>
      </c>
      <c r="N51" s="3"/>
      <c r="U51" s="68" t="s">
        <v>160</v>
      </c>
      <c r="Y51" t="e">
        <f>VLOOKUP(#REF!,D$11:E$46,2,FALSE)</f>
        <v>#REF!</v>
      </c>
    </row>
    <row r="52" spans="1:25" x14ac:dyDescent="0.2">
      <c r="A52" t="s">
        <v>263</v>
      </c>
      <c r="B52" s="5" t="s">
        <v>246</v>
      </c>
      <c r="D52" s="70">
        <v>56978.385000000002</v>
      </c>
      <c r="E52" s="10">
        <v>1.4E-3</v>
      </c>
      <c r="F52" s="3" t="s">
        <v>42</v>
      </c>
      <c r="M52" s="105">
        <v>17</v>
      </c>
      <c r="N52" s="3"/>
      <c r="U52" s="70" t="s">
        <v>65</v>
      </c>
      <c r="Y52" t="e">
        <f t="shared" ref="Y52:Y58" si="2">VLOOKUP(D51,D$11:E$46,2,FALSE)</f>
        <v>#N/A</v>
      </c>
    </row>
    <row r="53" spans="1:25" x14ac:dyDescent="0.2">
      <c r="A53" t="s">
        <v>263</v>
      </c>
      <c r="B53" s="5" t="s">
        <v>246</v>
      </c>
      <c r="D53" s="70">
        <v>56978.542699999998</v>
      </c>
      <c r="E53" s="10">
        <v>1.5E-3</v>
      </c>
      <c r="F53" s="3" t="s">
        <v>40</v>
      </c>
      <c r="M53" s="105">
        <v>17</v>
      </c>
      <c r="N53" s="3"/>
      <c r="U53" s="70" t="s">
        <v>65</v>
      </c>
      <c r="Y53" t="e">
        <f t="shared" si="2"/>
        <v>#N/A</v>
      </c>
    </row>
    <row r="54" spans="1:25" x14ac:dyDescent="0.2">
      <c r="A54" t="s">
        <v>263</v>
      </c>
      <c r="B54" s="5" t="s">
        <v>248</v>
      </c>
      <c r="D54" s="80">
        <v>57329.351699999999</v>
      </c>
      <c r="E54" s="10">
        <v>1.9E-3</v>
      </c>
      <c r="F54" s="3" t="s">
        <v>42</v>
      </c>
      <c r="M54" s="105">
        <v>18</v>
      </c>
      <c r="N54" s="3"/>
      <c r="U54" s="78" t="s">
        <v>1</v>
      </c>
      <c r="Y54" t="e">
        <f t="shared" si="2"/>
        <v>#N/A</v>
      </c>
    </row>
    <row r="55" spans="1:25" x14ac:dyDescent="0.2">
      <c r="A55" t="s">
        <v>263</v>
      </c>
      <c r="B55" s="5" t="s">
        <v>248</v>
      </c>
      <c r="D55" s="80">
        <v>57329.5101</v>
      </c>
      <c r="E55" s="10">
        <v>1.9E-3</v>
      </c>
      <c r="F55" s="3" t="s">
        <v>40</v>
      </c>
      <c r="M55" s="105">
        <v>18</v>
      </c>
      <c r="N55" s="3"/>
      <c r="U55" s="78" t="s">
        <v>1</v>
      </c>
      <c r="Y55" t="e">
        <f t="shared" si="2"/>
        <v>#N/A</v>
      </c>
    </row>
    <row r="56" spans="1:25" x14ac:dyDescent="0.2">
      <c r="A56" t="s">
        <v>263</v>
      </c>
      <c r="B56" s="5" t="s">
        <v>248</v>
      </c>
      <c r="D56" s="80">
        <v>57329.669099999999</v>
      </c>
      <c r="E56" s="10">
        <v>3.2000000000000002E-3</v>
      </c>
      <c r="F56" s="3" t="s">
        <v>42</v>
      </c>
      <c r="M56" s="105">
        <v>18</v>
      </c>
      <c r="N56" s="3"/>
      <c r="U56" s="78" t="s">
        <v>1</v>
      </c>
      <c r="Y56" t="e">
        <f t="shared" si="2"/>
        <v>#N/A</v>
      </c>
    </row>
    <row r="57" spans="1:25" x14ac:dyDescent="0.2">
      <c r="A57" t="s">
        <v>263</v>
      </c>
      <c r="B57" s="5" t="s">
        <v>250</v>
      </c>
      <c r="D57" s="74">
        <v>57758.275999999998</v>
      </c>
      <c r="E57" s="10">
        <v>4.0000000000000001E-3</v>
      </c>
      <c r="F57" s="3" t="s">
        <v>42</v>
      </c>
      <c r="M57" s="104">
        <v>19</v>
      </c>
      <c r="N57" s="3"/>
      <c r="U57" s="72" t="s">
        <v>2</v>
      </c>
      <c r="Y57" t="e">
        <f t="shared" si="2"/>
        <v>#N/A</v>
      </c>
    </row>
    <row r="58" spans="1:25" x14ac:dyDescent="0.2">
      <c r="A58" t="s">
        <v>263</v>
      </c>
      <c r="B58" s="99" t="s">
        <v>230</v>
      </c>
      <c r="C58" s="3" t="s">
        <v>40</v>
      </c>
      <c r="D58" s="101">
        <v>58098.586000000003</v>
      </c>
      <c r="E58" s="10">
        <v>2.9999999999999997E-4</v>
      </c>
      <c r="F58" s="3" t="s">
        <v>40</v>
      </c>
      <c r="M58" s="104">
        <v>20</v>
      </c>
      <c r="N58" s="3"/>
      <c r="U58" s="95" t="s">
        <v>176</v>
      </c>
      <c r="Y58" t="e">
        <f t="shared" si="2"/>
        <v>#N/A</v>
      </c>
    </row>
    <row r="59" spans="1:25" x14ac:dyDescent="0.2">
      <c r="B59" s="26"/>
      <c r="C59" s="86"/>
      <c r="D59" s="27"/>
      <c r="E59" s="27"/>
      <c r="U59" s="3"/>
    </row>
    <row r="60" spans="1:25" x14ac:dyDescent="0.2">
      <c r="C60" s="3">
        <v>1</v>
      </c>
      <c r="D60" s="5" t="s">
        <v>222</v>
      </c>
      <c r="H60" s="5" t="s">
        <v>236</v>
      </c>
    </row>
    <row r="61" spans="1:25" x14ac:dyDescent="0.2">
      <c r="C61" s="3">
        <v>2</v>
      </c>
      <c r="D61" s="5" t="s">
        <v>258</v>
      </c>
      <c r="H61" s="5" t="s">
        <v>259</v>
      </c>
    </row>
    <row r="62" spans="1:25" x14ac:dyDescent="0.2">
      <c r="C62" s="3">
        <v>3</v>
      </c>
      <c r="D62" s="5" t="s">
        <v>215</v>
      </c>
      <c r="H62" s="5" t="s">
        <v>237</v>
      </c>
    </row>
    <row r="63" spans="1:25" x14ac:dyDescent="0.2">
      <c r="C63" s="3">
        <v>4</v>
      </c>
      <c r="D63" s="5" t="s">
        <v>216</v>
      </c>
      <c r="H63" s="5" t="s">
        <v>256</v>
      </c>
    </row>
    <row r="64" spans="1:25" x14ac:dyDescent="0.2">
      <c r="C64" s="3">
        <v>5</v>
      </c>
      <c r="D64" s="5" t="s">
        <v>217</v>
      </c>
      <c r="H64" s="5" t="s">
        <v>245</v>
      </c>
    </row>
    <row r="65" spans="3:19" x14ac:dyDescent="0.2">
      <c r="C65" s="3">
        <v>6</v>
      </c>
      <c r="D65" s="5" t="s">
        <v>255</v>
      </c>
      <c r="H65" s="5" t="s">
        <v>238</v>
      </c>
    </row>
    <row r="66" spans="3:19" x14ac:dyDescent="0.2">
      <c r="C66" s="3">
        <v>7</v>
      </c>
      <c r="D66" s="5" t="s">
        <v>218</v>
      </c>
      <c r="H66" s="5" t="s">
        <v>239</v>
      </c>
    </row>
    <row r="67" spans="3:19" x14ac:dyDescent="0.2">
      <c r="C67" s="3">
        <v>8</v>
      </c>
      <c r="D67" s="5" t="s">
        <v>219</v>
      </c>
      <c r="H67" s="5" t="s">
        <v>254</v>
      </c>
    </row>
    <row r="68" spans="3:19" x14ac:dyDescent="0.2">
      <c r="C68" s="3">
        <v>9</v>
      </c>
      <c r="D68" s="5" t="s">
        <v>223</v>
      </c>
      <c r="H68" s="5" t="s">
        <v>240</v>
      </c>
    </row>
    <row r="69" spans="3:19" x14ac:dyDescent="0.2">
      <c r="C69" s="3">
        <v>10</v>
      </c>
      <c r="D69" s="5" t="s">
        <v>220</v>
      </c>
      <c r="H69" s="5" t="s">
        <v>235</v>
      </c>
    </row>
    <row r="70" spans="3:19" x14ac:dyDescent="0.2">
      <c r="C70" s="3">
        <v>11</v>
      </c>
      <c r="D70" s="5" t="s">
        <v>221</v>
      </c>
      <c r="H70" s="5" t="s">
        <v>241</v>
      </c>
    </row>
    <row r="71" spans="3:19" x14ac:dyDescent="0.2">
      <c r="C71" s="3">
        <v>12</v>
      </c>
      <c r="D71" s="99" t="s">
        <v>229</v>
      </c>
      <c r="H71" s="5" t="s">
        <v>234</v>
      </c>
    </row>
    <row r="72" spans="3:19" x14ac:dyDescent="0.2">
      <c r="C72" s="3">
        <v>13</v>
      </c>
      <c r="D72" s="5" t="s">
        <v>257</v>
      </c>
      <c r="H72" s="5" t="s">
        <v>242</v>
      </c>
    </row>
    <row r="73" spans="3:19" x14ac:dyDescent="0.2">
      <c r="C73" s="3">
        <v>14</v>
      </c>
      <c r="D73" s="5" t="s">
        <v>244</v>
      </c>
      <c r="E73" s="98"/>
      <c r="H73" s="25" t="s">
        <v>243</v>
      </c>
    </row>
    <row r="74" spans="3:19" x14ac:dyDescent="0.2">
      <c r="C74" s="3">
        <v>15</v>
      </c>
      <c r="D74" s="99" t="s">
        <v>231</v>
      </c>
      <c r="H74" s="5" t="s">
        <v>233</v>
      </c>
    </row>
    <row r="75" spans="3:19" x14ac:dyDescent="0.2">
      <c r="C75" s="3">
        <v>16</v>
      </c>
      <c r="D75" s="5" t="s">
        <v>232</v>
      </c>
      <c r="H75" s="5" t="s">
        <v>253</v>
      </c>
    </row>
    <row r="76" spans="3:19" x14ac:dyDescent="0.2">
      <c r="C76" s="3">
        <v>17</v>
      </c>
      <c r="D76" s="5" t="s">
        <v>246</v>
      </c>
      <c r="H76" s="5" t="s">
        <v>247</v>
      </c>
    </row>
    <row r="77" spans="3:19" x14ac:dyDescent="0.2">
      <c r="C77" s="3">
        <v>18</v>
      </c>
      <c r="D77" s="5" t="s">
        <v>248</v>
      </c>
      <c r="H77" s="5" t="s">
        <v>249</v>
      </c>
      <c r="O77" t="s">
        <v>226</v>
      </c>
      <c r="S77" s="92">
        <v>56514.935799999999</v>
      </c>
    </row>
    <row r="78" spans="3:19" x14ac:dyDescent="0.2">
      <c r="C78" s="3">
        <v>19</v>
      </c>
      <c r="D78" s="5" t="s">
        <v>250</v>
      </c>
      <c r="H78" s="100" t="s">
        <v>251</v>
      </c>
      <c r="S78" s="91">
        <v>56526.8681</v>
      </c>
    </row>
    <row r="79" spans="3:19" x14ac:dyDescent="0.2">
      <c r="C79" s="3">
        <v>20</v>
      </c>
      <c r="D79" s="99" t="s">
        <v>230</v>
      </c>
      <c r="H79" s="5" t="s">
        <v>252</v>
      </c>
      <c r="S79" s="91">
        <v>56535.936399999999</v>
      </c>
    </row>
    <row r="80" spans="3:19" x14ac:dyDescent="0.2">
      <c r="D80" s="90"/>
      <c r="O80" t="s">
        <v>227</v>
      </c>
      <c r="S80" s="92">
        <v>56560.914499999999</v>
      </c>
    </row>
    <row r="81" spans="2:19" x14ac:dyDescent="0.2">
      <c r="D81" s="90"/>
      <c r="S81" s="91">
        <v>56579.688499999997</v>
      </c>
    </row>
    <row r="82" spans="2:19" x14ac:dyDescent="0.2">
      <c r="D82" s="90"/>
      <c r="S82" s="91">
        <v>56579.847500000003</v>
      </c>
    </row>
    <row r="83" spans="2:19" x14ac:dyDescent="0.2">
      <c r="D83" s="90"/>
      <c r="R83" s="91"/>
    </row>
    <row r="84" spans="2:19" ht="14.25" customHeight="1" x14ac:dyDescent="0.2"/>
    <row r="85" spans="2:19" x14ac:dyDescent="0.2">
      <c r="B85" t="s">
        <v>228</v>
      </c>
    </row>
    <row r="86" spans="2:19" x14ac:dyDescent="0.2">
      <c r="H86" s="113" t="s">
        <v>256</v>
      </c>
    </row>
    <row r="87" spans="2:19" x14ac:dyDescent="0.2">
      <c r="H87" s="113" t="s">
        <v>238</v>
      </c>
    </row>
    <row r="88" spans="2:19" x14ac:dyDescent="0.2">
      <c r="H88" s="113" t="s">
        <v>241</v>
      </c>
    </row>
    <row r="89" spans="2:19" x14ac:dyDescent="0.2">
      <c r="H89" s="113" t="s">
        <v>239</v>
      </c>
    </row>
    <row r="90" spans="2:19" x14ac:dyDescent="0.2">
      <c r="H90" s="113" t="s">
        <v>254</v>
      </c>
    </row>
    <row r="91" spans="2:19" x14ac:dyDescent="0.2">
      <c r="H91" s="113" t="s">
        <v>240</v>
      </c>
    </row>
    <row r="92" spans="2:19" x14ac:dyDescent="0.2">
      <c r="H92" s="113" t="s">
        <v>247</v>
      </c>
    </row>
    <row r="93" spans="2:19" x14ac:dyDescent="0.2">
      <c r="H93" s="113" t="s">
        <v>249</v>
      </c>
    </row>
    <row r="94" spans="2:19" x14ac:dyDescent="0.2">
      <c r="H94" s="113" t="s">
        <v>242</v>
      </c>
    </row>
    <row r="95" spans="2:19" x14ac:dyDescent="0.2">
      <c r="H95" s="113" t="s">
        <v>237</v>
      </c>
    </row>
    <row r="96" spans="2:19" x14ac:dyDescent="0.2">
      <c r="H96" s="113" t="s">
        <v>253</v>
      </c>
    </row>
    <row r="97" spans="8:8" x14ac:dyDescent="0.2">
      <c r="H97" s="113" t="s">
        <v>235</v>
      </c>
    </row>
    <row r="98" spans="8:8" x14ac:dyDescent="0.2">
      <c r="H98" s="113" t="s">
        <v>234</v>
      </c>
    </row>
    <row r="99" spans="8:8" x14ac:dyDescent="0.2">
      <c r="H99" s="113" t="s">
        <v>233</v>
      </c>
    </row>
    <row r="100" spans="8:8" x14ac:dyDescent="0.2">
      <c r="H100" s="113" t="s">
        <v>252</v>
      </c>
    </row>
    <row r="101" spans="8:8" x14ac:dyDescent="0.2">
      <c r="H101" s="113" t="s">
        <v>236</v>
      </c>
    </row>
    <row r="102" spans="8:8" x14ac:dyDescent="0.2">
      <c r="H102" s="113" t="s">
        <v>245</v>
      </c>
    </row>
    <row r="103" spans="8:8" x14ac:dyDescent="0.2">
      <c r="H103" s="113" t="s">
        <v>243</v>
      </c>
    </row>
    <row r="104" spans="8:8" x14ac:dyDescent="0.2">
      <c r="H104" s="113" t="s">
        <v>251</v>
      </c>
    </row>
    <row r="105" spans="8:8" x14ac:dyDescent="0.2">
      <c r="H105" s="113" t="s">
        <v>259</v>
      </c>
    </row>
  </sheetData>
  <sheetProtection sheet="1" objects="1" scenarios="1"/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0"/>
  <sheetViews>
    <sheetView topLeftCell="A4" workbookViewId="0">
      <selection activeCell="A5" sqref="A5"/>
    </sheetView>
  </sheetViews>
  <sheetFormatPr defaultRowHeight="12.75" x14ac:dyDescent="0.2"/>
  <cols>
    <col min="1" max="1" width="24.140625" customWidth="1"/>
    <col min="2" max="2" width="6" customWidth="1"/>
    <col min="3" max="3" width="12.5703125" customWidth="1"/>
    <col min="4" max="4" width="9.140625" style="10"/>
    <col min="5" max="5" width="19" customWidth="1"/>
    <col min="6" max="6" width="6.5703125" customWidth="1"/>
    <col min="7" max="7" width="11.85546875" customWidth="1"/>
    <col min="9" max="9" width="14.7109375" customWidth="1"/>
    <col min="11" max="11" width="9.140625" style="3"/>
    <col min="16" max="16" width="13.140625" customWidth="1"/>
    <col min="17" max="17" width="14.28515625" customWidth="1"/>
    <col min="18" max="18" width="12" customWidth="1"/>
    <col min="19" max="19" width="23.7109375" customWidth="1"/>
    <col min="20" max="20" width="13" customWidth="1"/>
    <col min="21" max="21" width="19.140625" customWidth="1"/>
  </cols>
  <sheetData>
    <row r="1" spans="1:21" x14ac:dyDescent="0.2">
      <c r="A1" t="s">
        <v>224</v>
      </c>
    </row>
    <row r="10" spans="1:21" ht="13.5" thickBot="1" x14ac:dyDescent="0.25">
      <c r="A10" s="4" t="s">
        <v>8</v>
      </c>
      <c r="B10" s="4" t="s">
        <v>273</v>
      </c>
      <c r="C10" s="4" t="s">
        <v>265</v>
      </c>
      <c r="D10" s="4" t="s">
        <v>14</v>
      </c>
      <c r="E10" s="4" t="s">
        <v>8</v>
      </c>
      <c r="F10" s="4" t="s">
        <v>273</v>
      </c>
      <c r="G10" s="4" t="s">
        <v>265</v>
      </c>
      <c r="H10" s="4" t="s">
        <v>14</v>
      </c>
    </row>
    <row r="11" spans="1:21" x14ac:dyDescent="0.2">
      <c r="A11" s="26" t="s">
        <v>267</v>
      </c>
      <c r="B11" s="51" t="str">
        <f>VLOOKUP(C11,'New_list (1)'!D$11:F$58,3,FALSE)</f>
        <v>II</v>
      </c>
      <c r="C11" s="27">
        <v>51479.656600000002</v>
      </c>
      <c r="D11" s="27" t="s">
        <v>15</v>
      </c>
      <c r="E11" s="26" t="s">
        <v>219</v>
      </c>
      <c r="F11" s="51" t="str">
        <f>VLOOKUP(G11,'New_list (1)'!D$11:F$58,3,FALSE)</f>
        <v>II</v>
      </c>
      <c r="G11" s="27">
        <v>55553.196199999998</v>
      </c>
      <c r="H11" s="27">
        <v>1E-4</v>
      </c>
      <c r="P11" s="10"/>
      <c r="Q11" s="10"/>
      <c r="R11" s="26"/>
      <c r="S11" s="86"/>
    </row>
    <row r="12" spans="1:21" x14ac:dyDescent="0.2">
      <c r="A12" s="26" t="s">
        <v>258</v>
      </c>
      <c r="B12" s="51" t="str">
        <f>VLOOKUP(C12,'New_list (1)'!D$11:F$58,3,FALSE)</f>
        <v>II</v>
      </c>
      <c r="C12" s="27">
        <v>52898.811500000003</v>
      </c>
      <c r="D12" s="27" t="s">
        <v>15</v>
      </c>
      <c r="E12" s="26" t="s">
        <v>223</v>
      </c>
      <c r="F12" s="51" t="str">
        <f>VLOOKUP(G12,'New_list (1)'!D$11:F$58,3,FALSE)</f>
        <v>I</v>
      </c>
      <c r="G12" s="27">
        <v>55553.353020000002</v>
      </c>
      <c r="H12" s="27">
        <v>6.9999999999999994E-5</v>
      </c>
      <c r="S12" s="3"/>
    </row>
    <row r="13" spans="1:21" x14ac:dyDescent="0.2">
      <c r="A13" s="26" t="s">
        <v>215</v>
      </c>
      <c r="B13" s="51" t="str">
        <f>VLOOKUP(C13,'New_list (1)'!D$11:F$58,3,FALSE)</f>
        <v>II</v>
      </c>
      <c r="C13" s="27">
        <v>54049.407800000001</v>
      </c>
      <c r="D13" s="27">
        <v>2.5000000000000001E-3</v>
      </c>
      <c r="E13" s="26" t="s">
        <v>220</v>
      </c>
      <c r="F13" s="51" t="str">
        <f>VLOOKUP(G13,'New_list (1)'!D$11:F$58,3,FALSE)</f>
        <v>II</v>
      </c>
      <c r="G13" s="27">
        <v>56167.946000000004</v>
      </c>
      <c r="H13" s="27">
        <v>2E-3</v>
      </c>
      <c r="L13" s="3"/>
      <c r="P13" s="10"/>
      <c r="Q13" s="42"/>
      <c r="R13" s="42"/>
      <c r="S13" s="86"/>
      <c r="T13" s="27"/>
      <c r="U13" s="26"/>
    </row>
    <row r="14" spans="1:21" x14ac:dyDescent="0.2">
      <c r="A14" s="26" t="s">
        <v>216</v>
      </c>
      <c r="B14" s="51" t="str">
        <f>VLOOKUP(C14,'New_list (1)'!D$11:F$58,3,FALSE)</f>
        <v>II</v>
      </c>
      <c r="C14" s="27">
        <v>54062.457999999999</v>
      </c>
      <c r="D14" s="27">
        <v>2.5000000000000001E-3</v>
      </c>
      <c r="E14" s="26" t="s">
        <v>221</v>
      </c>
      <c r="F14" s="51" t="str">
        <f>VLOOKUP(G14,'New_list (1)'!D$11:F$58,3,FALSE)</f>
        <v>II</v>
      </c>
      <c r="G14" s="27">
        <v>56279.6322</v>
      </c>
      <c r="H14" s="27">
        <v>1E-4</v>
      </c>
      <c r="L14" s="3"/>
      <c r="P14" s="10"/>
      <c r="Q14" s="10"/>
      <c r="R14" s="83"/>
      <c r="S14" s="43"/>
    </row>
    <row r="15" spans="1:21" x14ac:dyDescent="0.2">
      <c r="A15" s="26" t="s">
        <v>216</v>
      </c>
      <c r="B15" s="51" t="str">
        <f>VLOOKUP(C15,'New_list (1)'!D$11:F$58,3,FALSE)</f>
        <v>I</v>
      </c>
      <c r="C15" s="27">
        <v>54080.433299999997</v>
      </c>
      <c r="D15" s="27">
        <v>2.5999999999999999E-3</v>
      </c>
      <c r="E15" s="26" t="s">
        <v>229</v>
      </c>
      <c r="F15" s="51" t="str">
        <f>VLOOKUP(G15,'New_list (1)'!D$11:F$58,3,FALSE)</f>
        <v>I</v>
      </c>
      <c r="G15" s="27">
        <v>56514.935799999999</v>
      </c>
      <c r="H15" s="27">
        <v>2.0000000000000001E-4</v>
      </c>
      <c r="L15" s="3"/>
      <c r="P15" s="10"/>
      <c r="Q15" s="10"/>
      <c r="R15" s="83"/>
      <c r="S15" s="3"/>
    </row>
    <row r="16" spans="1:21" x14ac:dyDescent="0.2">
      <c r="A16" s="26" t="s">
        <v>216</v>
      </c>
      <c r="B16" s="51" t="str">
        <f>VLOOKUP(C16,'New_list (1)'!D$11:F$58,3,FALSE)</f>
        <v>I</v>
      </c>
      <c r="C16" s="27">
        <v>54081.387699999999</v>
      </c>
      <c r="D16" s="27">
        <v>3.8E-3</v>
      </c>
      <c r="E16" s="26" t="s">
        <v>244</v>
      </c>
      <c r="F16" s="51" t="str">
        <f>VLOOKUP(G16,'New_list (1)'!D$11:F$58,3,FALSE)</f>
        <v>I</v>
      </c>
      <c r="G16" s="27">
        <v>56516.525999999998</v>
      </c>
      <c r="H16" s="27">
        <v>7.0000000000000001E-3</v>
      </c>
      <c r="L16" s="3"/>
      <c r="P16" s="10"/>
      <c r="Q16" s="10"/>
      <c r="R16" s="83"/>
      <c r="S16" s="3"/>
    </row>
    <row r="17" spans="1:19" x14ac:dyDescent="0.2">
      <c r="A17" s="26" t="s">
        <v>216</v>
      </c>
      <c r="B17" s="51" t="str">
        <f>VLOOKUP(C17,'New_list (1)'!D$11:F$58,3,FALSE)</f>
        <v>I</v>
      </c>
      <c r="C17" s="27">
        <v>54083.2978</v>
      </c>
      <c r="D17" s="27">
        <v>2.0999999999999999E-3</v>
      </c>
      <c r="E17" s="26" t="s">
        <v>229</v>
      </c>
      <c r="F17" s="51" t="str">
        <f>VLOOKUP(G17,'New_list (1)'!D$11:F$58,3,FALSE)</f>
        <v>II</v>
      </c>
      <c r="G17" s="27">
        <v>56526.8681</v>
      </c>
      <c r="H17" s="27">
        <v>2.9999999999999997E-4</v>
      </c>
      <c r="L17" s="3"/>
      <c r="P17" s="10"/>
      <c r="Q17" s="10"/>
      <c r="R17" s="83"/>
      <c r="S17" s="3"/>
    </row>
    <row r="18" spans="1:19" x14ac:dyDescent="0.2">
      <c r="A18" s="26" t="s">
        <v>216</v>
      </c>
      <c r="B18" s="51" t="str">
        <f>VLOOKUP(C18,'New_list (1)'!D$11:F$58,3,FALSE)</f>
        <v>II</v>
      </c>
      <c r="C18" s="27">
        <v>54083.458299999998</v>
      </c>
      <c r="D18" s="27">
        <v>1.6999999999999999E-3</v>
      </c>
      <c r="E18" s="26" t="s">
        <v>229</v>
      </c>
      <c r="F18" s="51" t="str">
        <f>VLOOKUP(G18,'New_list (1)'!D$11:F$58,3,FALSE)</f>
        <v>I</v>
      </c>
      <c r="G18" s="27">
        <v>56535.936399999999</v>
      </c>
      <c r="H18" s="27">
        <v>1E-4</v>
      </c>
      <c r="L18" s="3"/>
      <c r="P18" s="10"/>
      <c r="Q18" s="10"/>
      <c r="R18" s="83"/>
      <c r="S18" s="3"/>
    </row>
    <row r="19" spans="1:19" x14ac:dyDescent="0.2">
      <c r="A19" s="26" t="s">
        <v>215</v>
      </c>
      <c r="B19" s="51" t="str">
        <f>VLOOKUP(C19,'New_list (1)'!D$11:F$58,3,FALSE)</f>
        <v>II</v>
      </c>
      <c r="C19" s="27">
        <v>54084.412700000001</v>
      </c>
      <c r="D19" s="27">
        <v>2.5000000000000001E-3</v>
      </c>
      <c r="E19" s="26" t="s">
        <v>229</v>
      </c>
      <c r="F19" s="51" t="str">
        <f>VLOOKUP(G19,'New_list (1)'!D$11:F$58,3,FALSE)</f>
        <v>II</v>
      </c>
      <c r="G19" s="27">
        <v>56560.914499999999</v>
      </c>
      <c r="H19" s="27">
        <v>2.0000000000000001E-4</v>
      </c>
      <c r="L19" s="3"/>
      <c r="P19" s="10"/>
      <c r="Q19" s="42"/>
      <c r="R19" s="42"/>
      <c r="S19" s="3"/>
    </row>
    <row r="20" spans="1:19" x14ac:dyDescent="0.2">
      <c r="A20" s="26" t="s">
        <v>216</v>
      </c>
      <c r="B20" s="51" t="str">
        <f>VLOOKUP(C20,'New_list (1)'!D$11:F$58,3,FALSE)</f>
        <v>I</v>
      </c>
      <c r="C20" s="27">
        <v>54095.389300000003</v>
      </c>
      <c r="D20" s="27">
        <v>2E-3</v>
      </c>
      <c r="E20" s="26" t="s">
        <v>229</v>
      </c>
      <c r="F20" s="51" t="str">
        <f>VLOOKUP(G20,'New_list (1)'!D$11:F$58,3,FALSE)</f>
        <v>II</v>
      </c>
      <c r="G20" s="27">
        <v>56579.688499999997</v>
      </c>
      <c r="H20" s="27">
        <v>1E-4</v>
      </c>
      <c r="L20" s="3"/>
      <c r="P20" s="10"/>
      <c r="Q20" s="10"/>
      <c r="R20" s="83"/>
      <c r="S20" s="43"/>
    </row>
    <row r="21" spans="1:19" x14ac:dyDescent="0.2">
      <c r="A21" s="26" t="s">
        <v>217</v>
      </c>
      <c r="B21" s="51" t="str">
        <f>VLOOKUP(C21,'New_list (1)'!D$11:F$58,3,FALSE)</f>
        <v>II</v>
      </c>
      <c r="C21" s="27">
        <v>54507.298000000003</v>
      </c>
      <c r="D21" s="27">
        <v>0.01</v>
      </c>
      <c r="E21" s="26" t="s">
        <v>229</v>
      </c>
      <c r="F21" s="51" t="str">
        <f>VLOOKUP(G21,'New_list (1)'!D$11:F$58,3,FALSE)</f>
        <v>I</v>
      </c>
      <c r="G21" s="27">
        <v>56579.847500000003</v>
      </c>
      <c r="H21" s="27">
        <v>1E-4</v>
      </c>
      <c r="L21" s="3"/>
      <c r="P21" s="10"/>
      <c r="Q21" s="28"/>
      <c r="R21" s="42"/>
      <c r="S21" s="3"/>
    </row>
    <row r="22" spans="1:19" x14ac:dyDescent="0.2">
      <c r="A22" s="26" t="s">
        <v>217</v>
      </c>
      <c r="B22" s="51" t="str">
        <f>VLOOKUP(C22,'New_list (1)'!D$11:F$58,3,FALSE)</f>
        <v>II</v>
      </c>
      <c r="C22" s="27">
        <v>54808.303999999996</v>
      </c>
      <c r="D22" s="27">
        <v>0.01</v>
      </c>
      <c r="E22" s="26" t="s">
        <v>257</v>
      </c>
      <c r="F22" s="51" t="str">
        <f>VLOOKUP(G22,'New_list (1)'!D$11:F$58,3,FALSE)</f>
        <v>II</v>
      </c>
      <c r="G22" s="27">
        <v>56630.281000000003</v>
      </c>
      <c r="H22" s="27">
        <v>2.5000000000000001E-3</v>
      </c>
      <c r="L22" s="3"/>
      <c r="P22" s="10"/>
      <c r="Q22" s="42"/>
      <c r="R22" s="42"/>
      <c r="S22" s="43"/>
    </row>
    <row r="23" spans="1:19" x14ac:dyDescent="0.2">
      <c r="A23" s="26" t="s">
        <v>255</v>
      </c>
      <c r="B23" s="51" t="str">
        <f>VLOOKUP(C23,'New_list (1)'!D$11:F$58,3,FALSE)</f>
        <v>II</v>
      </c>
      <c r="C23" s="27">
        <v>55080.362500000003</v>
      </c>
      <c r="D23" s="27">
        <v>1E-4</v>
      </c>
      <c r="E23" s="26" t="s">
        <v>257</v>
      </c>
      <c r="F23" s="51" t="str">
        <f>VLOOKUP(G23,'New_list (1)'!D$11:F$58,3,FALSE)</f>
        <v>I</v>
      </c>
      <c r="G23" s="27">
        <v>56630.440600000002</v>
      </c>
      <c r="H23" s="27">
        <v>1.8E-3</v>
      </c>
      <c r="L23" s="3"/>
      <c r="P23" s="10"/>
      <c r="Q23" s="42"/>
      <c r="R23" s="42"/>
      <c r="S23" s="43"/>
    </row>
    <row r="24" spans="1:19" x14ac:dyDescent="0.2">
      <c r="A24" s="26" t="s">
        <v>218</v>
      </c>
      <c r="B24" s="51" t="str">
        <f>VLOOKUP(C24,'New_list (1)'!D$11:F$58,3,FALSE)</f>
        <v>I</v>
      </c>
      <c r="C24" s="27">
        <v>55080.518199999999</v>
      </c>
      <c r="D24" s="27">
        <v>1E-4</v>
      </c>
      <c r="E24" s="26" t="s">
        <v>231</v>
      </c>
      <c r="F24" s="51" t="str">
        <f>VLOOKUP(G24,'New_list (1)'!D$11:F$58,3,FALSE)</f>
        <v>II</v>
      </c>
      <c r="G24" s="27">
        <v>56928.746099999997</v>
      </c>
      <c r="H24" s="27">
        <v>2.0000000000000001E-4</v>
      </c>
      <c r="L24" s="3"/>
      <c r="P24" s="10"/>
      <c r="Q24" s="42"/>
      <c r="R24" s="42"/>
      <c r="S24" s="43"/>
    </row>
    <row r="25" spans="1:19" x14ac:dyDescent="0.2">
      <c r="A25" s="26" t="s">
        <v>218</v>
      </c>
      <c r="B25" s="51" t="str">
        <f>VLOOKUP(C25,'New_list (1)'!D$11:F$58,3,FALSE)</f>
        <v>I</v>
      </c>
      <c r="C25" s="27">
        <v>55103.427900000002</v>
      </c>
      <c r="D25" s="27">
        <v>2.9999999999999997E-4</v>
      </c>
      <c r="E25" s="26" t="s">
        <v>232</v>
      </c>
      <c r="F25" s="51" t="str">
        <f>VLOOKUP(G25,'New_list (1)'!D$11:F$58,3,FALSE)</f>
        <v>II</v>
      </c>
      <c r="G25" s="111">
        <v>56949.109800000209</v>
      </c>
      <c r="H25" s="27" t="s">
        <v>15</v>
      </c>
      <c r="L25" s="3"/>
      <c r="P25" s="10"/>
      <c r="Q25" s="42"/>
      <c r="R25" s="42"/>
      <c r="S25" s="43"/>
    </row>
    <row r="26" spans="1:19" x14ac:dyDescent="0.2">
      <c r="A26" s="26" t="s">
        <v>218</v>
      </c>
      <c r="B26" s="51" t="str">
        <f>VLOOKUP(C26,'New_list (1)'!D$11:F$58,3,FALSE)</f>
        <v>II</v>
      </c>
      <c r="C26" s="27">
        <v>55103.5887</v>
      </c>
      <c r="D26" s="27">
        <v>4.0000000000000002E-4</v>
      </c>
      <c r="E26" s="26" t="s">
        <v>232</v>
      </c>
      <c r="F26" s="51" t="str">
        <f>VLOOKUP(G26,'New_list (1)'!D$11:F$58,3,FALSE)</f>
        <v>I</v>
      </c>
      <c r="G26" s="111">
        <v>56949.27</v>
      </c>
      <c r="H26" s="27" t="s">
        <v>15</v>
      </c>
      <c r="L26" s="3"/>
      <c r="P26" s="10"/>
      <c r="Q26" s="42"/>
      <c r="R26" s="42"/>
      <c r="S26" s="43"/>
    </row>
    <row r="27" spans="1:19" x14ac:dyDescent="0.2">
      <c r="A27" s="26" t="s">
        <v>218</v>
      </c>
      <c r="B27" s="51" t="str">
        <f>VLOOKUP(C27,'New_list (1)'!D$11:F$58,3,FALSE)</f>
        <v>II</v>
      </c>
      <c r="C27" s="27">
        <v>55144.318899999998</v>
      </c>
      <c r="D27" s="27">
        <v>8.0000000000000004E-4</v>
      </c>
      <c r="E27" s="26" t="s">
        <v>246</v>
      </c>
      <c r="F27" s="51" t="str">
        <f>VLOOKUP(G27,'New_list (1)'!D$11:F$58,3,FALSE)</f>
        <v>II</v>
      </c>
      <c r="G27" s="47">
        <v>56978.385000000002</v>
      </c>
      <c r="H27" s="27">
        <v>1.4E-3</v>
      </c>
      <c r="L27" s="3"/>
      <c r="P27" s="10"/>
      <c r="Q27" s="42"/>
      <c r="R27" s="42"/>
      <c r="S27" s="43"/>
    </row>
    <row r="28" spans="1:19" x14ac:dyDescent="0.2">
      <c r="A28" s="26" t="s">
        <v>255</v>
      </c>
      <c r="B28" s="51" t="str">
        <f>VLOOKUP(C28,'New_list (1)'!D$11:F$58,3,FALSE)</f>
        <v>II</v>
      </c>
      <c r="C28" s="27">
        <v>55392.507100000003</v>
      </c>
      <c r="D28" s="27">
        <v>2.9999999999999997E-4</v>
      </c>
      <c r="E28" s="26" t="s">
        <v>246</v>
      </c>
      <c r="F28" s="51" t="str">
        <f>VLOOKUP(G28,'New_list (1)'!D$11:F$58,3,FALSE)</f>
        <v>I</v>
      </c>
      <c r="G28" s="47">
        <v>56978.542699999998</v>
      </c>
      <c r="H28" s="27">
        <v>1.5E-3</v>
      </c>
      <c r="L28" s="3"/>
      <c r="P28" s="10"/>
      <c r="Q28" s="42"/>
      <c r="R28" s="42"/>
      <c r="S28" s="43"/>
    </row>
    <row r="29" spans="1:19" x14ac:dyDescent="0.2">
      <c r="A29" s="26" t="s">
        <v>219</v>
      </c>
      <c r="B29" s="51" t="str">
        <f>VLOOKUP(C29,'New_list (1)'!D$11:F$58,3,FALSE)</f>
        <v>II</v>
      </c>
      <c r="C29" s="27">
        <v>55487.329400000002</v>
      </c>
      <c r="D29" s="27">
        <v>2.0000000000000001E-4</v>
      </c>
      <c r="E29" s="26" t="s">
        <v>248</v>
      </c>
      <c r="F29" s="51" t="str">
        <f>VLOOKUP(G29,'New_list (1)'!D$11:F$58,3,FALSE)</f>
        <v>II</v>
      </c>
      <c r="G29" s="80">
        <v>57329.351699999999</v>
      </c>
      <c r="H29" s="27">
        <v>1.9E-3</v>
      </c>
      <c r="L29" s="3"/>
      <c r="P29" s="10"/>
      <c r="Q29" s="84"/>
      <c r="R29" s="45"/>
      <c r="S29" s="43"/>
    </row>
    <row r="30" spans="1:19" x14ac:dyDescent="0.2">
      <c r="A30" s="26" t="s">
        <v>219</v>
      </c>
      <c r="B30" s="51" t="str">
        <f>VLOOKUP(C30,'New_list (1)'!D$11:F$58,3,FALSE)</f>
        <v>I</v>
      </c>
      <c r="C30" s="27">
        <v>55487.488899999997</v>
      </c>
      <c r="D30" s="27">
        <v>1E-4</v>
      </c>
      <c r="E30" s="26" t="s">
        <v>248</v>
      </c>
      <c r="F30" s="51" t="str">
        <f>VLOOKUP(G30,'New_list (1)'!D$11:F$58,3,FALSE)</f>
        <v>I</v>
      </c>
      <c r="G30" s="80">
        <v>57329.5101</v>
      </c>
      <c r="H30" s="27">
        <v>1.9E-3</v>
      </c>
      <c r="L30" s="3"/>
      <c r="P30" s="10"/>
      <c r="Q30" s="47"/>
      <c r="R30" s="45"/>
      <c r="S30" s="46"/>
    </row>
    <row r="31" spans="1:19" x14ac:dyDescent="0.2">
      <c r="A31" s="26" t="s">
        <v>223</v>
      </c>
      <c r="B31" s="51" t="str">
        <f>VLOOKUP(C31,'New_list (1)'!D$11:F$58,3,FALSE)</f>
        <v>II</v>
      </c>
      <c r="C31" s="27">
        <v>55509.284119999997</v>
      </c>
      <c r="D31" s="27">
        <v>2.5000000000000001E-4</v>
      </c>
      <c r="E31" s="26" t="s">
        <v>248</v>
      </c>
      <c r="F31" s="51" t="str">
        <f>VLOOKUP(G31,'New_list (1)'!D$11:F$58,3,FALSE)</f>
        <v>II</v>
      </c>
      <c r="G31" s="80">
        <v>57329.669099999999</v>
      </c>
      <c r="H31" s="27">
        <v>3.2000000000000002E-3</v>
      </c>
      <c r="L31" s="3"/>
      <c r="P31" s="10"/>
      <c r="Q31" s="10"/>
      <c r="R31" s="68"/>
      <c r="S31" s="87"/>
    </row>
    <row r="32" spans="1:19" x14ac:dyDescent="0.2">
      <c r="A32" s="26" t="s">
        <v>219</v>
      </c>
      <c r="B32" s="51" t="str">
        <f>VLOOKUP(C32,'New_list (1)'!D$11:F$58,3,FALSE)</f>
        <v>I</v>
      </c>
      <c r="C32" s="27">
        <v>55509.444000000003</v>
      </c>
      <c r="D32" s="27">
        <v>8.0000000000000004E-4</v>
      </c>
      <c r="E32" s="26" t="s">
        <v>250</v>
      </c>
      <c r="F32" s="51" t="str">
        <f>VLOOKUP(G32,'New_list (1)'!D$11:F$58,3,FALSE)</f>
        <v>II</v>
      </c>
      <c r="G32" s="112">
        <v>57758.275999999998</v>
      </c>
      <c r="H32" s="27">
        <v>4.0000000000000001E-3</v>
      </c>
      <c r="L32" s="3"/>
      <c r="P32" s="10"/>
      <c r="Q32" s="47"/>
      <c r="R32" s="45"/>
      <c r="S32" s="46"/>
    </row>
    <row r="33" spans="1:21" x14ac:dyDescent="0.2">
      <c r="A33" s="26" t="s">
        <v>219</v>
      </c>
      <c r="B33" s="51" t="str">
        <f>VLOOKUP(C33,'New_list (1)'!D$11:F$58,3,FALSE)</f>
        <v>II</v>
      </c>
      <c r="C33" s="27">
        <v>55528.376799999998</v>
      </c>
      <c r="D33" s="27">
        <v>6.0000000000000002E-5</v>
      </c>
      <c r="E33" s="26" t="s">
        <v>230</v>
      </c>
      <c r="F33" s="51" t="str">
        <f>VLOOKUP(G33,'New_list (1)'!D$11:F$58,3,FALSE)</f>
        <v>I</v>
      </c>
      <c r="G33" s="27">
        <v>58098.586000000003</v>
      </c>
      <c r="H33" s="27">
        <v>2.9999999999999997E-4</v>
      </c>
      <c r="L33" s="3"/>
      <c r="P33" s="10"/>
      <c r="Q33" s="47"/>
      <c r="R33" s="45"/>
      <c r="S33" s="3"/>
    </row>
    <row r="34" spans="1:21" x14ac:dyDescent="0.2">
      <c r="A34" s="26" t="s">
        <v>223</v>
      </c>
      <c r="B34" s="51" t="str">
        <f>VLOOKUP(C34,'New_list (1)'!D$11:F$58,3,FALSE)</f>
        <v>II</v>
      </c>
      <c r="C34" s="27">
        <v>55538.241670000003</v>
      </c>
      <c r="D34" s="27">
        <v>6.0000000000000002E-5</v>
      </c>
      <c r="E34" s="26" t="s">
        <v>272</v>
      </c>
      <c r="F34" s="51" t="s">
        <v>42</v>
      </c>
      <c r="G34" s="27">
        <v>59128.742201100002</v>
      </c>
      <c r="H34" s="27">
        <v>2E-3</v>
      </c>
      <c r="L34" s="3"/>
      <c r="P34" s="10"/>
      <c r="Q34" s="10"/>
      <c r="R34" s="68"/>
      <c r="S34" s="44"/>
    </row>
    <row r="35" spans="1:21" x14ac:dyDescent="0.2">
      <c r="A35" s="26" t="s">
        <v>219</v>
      </c>
      <c r="B35" s="51" t="str">
        <f>VLOOKUP(C35,'New_list (1)'!D$11:F$58,3,FALSE)</f>
        <v>II</v>
      </c>
      <c r="C35" s="27">
        <v>55551.287199999999</v>
      </c>
      <c r="D35" s="27">
        <v>1E-4</v>
      </c>
      <c r="L35" s="3"/>
      <c r="P35" s="10"/>
      <c r="Q35" s="47"/>
      <c r="R35" s="45"/>
      <c r="S35" s="46"/>
    </row>
    <row r="36" spans="1:21" x14ac:dyDescent="0.2">
      <c r="L36" s="3"/>
      <c r="P36" s="10"/>
      <c r="Q36" s="47"/>
      <c r="R36" s="45"/>
      <c r="S36" s="46"/>
    </row>
    <row r="37" spans="1:21" x14ac:dyDescent="0.2">
      <c r="L37" s="3"/>
      <c r="P37" s="10"/>
      <c r="Q37" s="10"/>
      <c r="R37" s="68"/>
      <c r="S37" s="44"/>
    </row>
    <row r="38" spans="1:21" x14ac:dyDescent="0.2">
      <c r="L38" s="3"/>
      <c r="P38" s="10"/>
      <c r="Q38" s="96"/>
      <c r="R38" s="97"/>
      <c r="S38" s="46"/>
    </row>
    <row r="39" spans="1:21" x14ac:dyDescent="0.2">
      <c r="L39" s="3"/>
      <c r="P39" s="10"/>
      <c r="Q39" s="27"/>
      <c r="R39" s="50"/>
      <c r="S39" s="46"/>
    </row>
    <row r="40" spans="1:21" x14ac:dyDescent="0.2">
      <c r="K40" s="104"/>
      <c r="L40" s="3"/>
      <c r="P40" s="10"/>
      <c r="Q40" s="92"/>
      <c r="R40" s="93"/>
      <c r="S40" s="46"/>
    </row>
    <row r="41" spans="1:21" x14ac:dyDescent="0.2">
      <c r="K41" s="104"/>
      <c r="L41" s="3"/>
      <c r="S41" s="68"/>
    </row>
    <row r="42" spans="1:21" x14ac:dyDescent="0.2">
      <c r="K42" s="104"/>
      <c r="L42" s="3"/>
      <c r="P42" s="10"/>
      <c r="Q42" s="91"/>
      <c r="R42" s="94"/>
      <c r="S42" s="3"/>
    </row>
    <row r="43" spans="1:21" x14ac:dyDescent="0.2">
      <c r="K43" s="104"/>
      <c r="L43" s="3"/>
      <c r="P43" s="10"/>
      <c r="Q43" s="91"/>
      <c r="R43" s="94"/>
      <c r="S43" s="44"/>
    </row>
    <row r="44" spans="1:21" x14ac:dyDescent="0.2">
      <c r="K44" s="104"/>
      <c r="L44" s="3"/>
      <c r="P44" s="10"/>
      <c r="Q44" s="92"/>
      <c r="R44" s="93"/>
      <c r="S44" s="51"/>
    </row>
    <row r="45" spans="1:21" x14ac:dyDescent="0.2">
      <c r="K45" s="104"/>
      <c r="L45" s="3"/>
      <c r="P45" s="10"/>
      <c r="Q45" s="91"/>
      <c r="R45" s="94"/>
      <c r="S45" s="49"/>
    </row>
    <row r="46" spans="1:21" x14ac:dyDescent="0.2">
      <c r="K46" s="104"/>
      <c r="L46" s="3"/>
      <c r="P46" s="10"/>
      <c r="Q46" s="91"/>
      <c r="R46" s="94"/>
      <c r="S46" s="87"/>
      <c r="T46" s="27"/>
      <c r="U46" s="48"/>
    </row>
    <row r="47" spans="1:21" x14ac:dyDescent="0.2">
      <c r="L47" s="3"/>
      <c r="P47" s="10"/>
      <c r="Q47" s="27"/>
      <c r="R47" s="45"/>
      <c r="S47" s="44"/>
    </row>
    <row r="48" spans="1:21" x14ac:dyDescent="0.2">
      <c r="L48" s="3"/>
      <c r="P48" s="10"/>
      <c r="Q48" s="27"/>
      <c r="R48" s="45"/>
      <c r="S48" s="49"/>
    </row>
    <row r="49" spans="1:19" x14ac:dyDescent="0.2">
      <c r="K49" s="104"/>
      <c r="L49" s="3"/>
      <c r="S49" s="94"/>
    </row>
    <row r="50" spans="1:19" x14ac:dyDescent="0.2">
      <c r="K50" s="104"/>
      <c r="L50" s="3"/>
      <c r="S50" s="68"/>
    </row>
    <row r="51" spans="1:19" x14ac:dyDescent="0.2">
      <c r="K51" s="104"/>
      <c r="L51" s="3"/>
      <c r="S51" s="68"/>
    </row>
    <row r="52" spans="1:19" x14ac:dyDescent="0.2">
      <c r="K52" s="105"/>
      <c r="L52" s="3"/>
      <c r="S52" s="70"/>
    </row>
    <row r="53" spans="1:19" x14ac:dyDescent="0.2">
      <c r="K53" s="105"/>
      <c r="L53" s="3"/>
      <c r="S53" s="70"/>
    </row>
    <row r="54" spans="1:19" x14ac:dyDescent="0.2">
      <c r="K54" s="105"/>
      <c r="L54" s="3"/>
      <c r="S54" s="78"/>
    </row>
    <row r="55" spans="1:19" x14ac:dyDescent="0.2">
      <c r="K55" s="105"/>
      <c r="L55" s="3"/>
      <c r="S55" s="78"/>
    </row>
    <row r="56" spans="1:19" x14ac:dyDescent="0.2">
      <c r="K56" s="105"/>
      <c r="L56" s="3"/>
      <c r="S56" s="78"/>
    </row>
    <row r="57" spans="1:19" x14ac:dyDescent="0.2">
      <c r="K57" s="104"/>
      <c r="L57" s="3"/>
      <c r="S57" s="72"/>
    </row>
    <row r="58" spans="1:19" x14ac:dyDescent="0.2">
      <c r="K58" s="104"/>
      <c r="L58" s="3"/>
      <c r="S58" s="95"/>
    </row>
    <row r="59" spans="1:19" x14ac:dyDescent="0.2">
      <c r="K59" s="104"/>
      <c r="L59" s="3"/>
      <c r="S59" s="95"/>
    </row>
    <row r="60" spans="1:19" x14ac:dyDescent="0.2">
      <c r="A60" s="26"/>
      <c r="B60" s="51"/>
      <c r="C60" s="27"/>
      <c r="D60" s="27"/>
      <c r="K60" s="104"/>
      <c r="L60" s="3"/>
      <c r="S60" s="95"/>
    </row>
    <row r="61" spans="1:19" x14ac:dyDescent="0.2">
      <c r="A61" s="26"/>
      <c r="B61" s="51"/>
      <c r="C61" s="27"/>
      <c r="D61" s="27"/>
      <c r="K61" s="104"/>
      <c r="L61" s="3"/>
      <c r="S61" s="95"/>
    </row>
    <row r="62" spans="1:19" x14ac:dyDescent="0.2">
      <c r="A62" s="26"/>
      <c r="B62" s="51"/>
      <c r="C62" s="27"/>
      <c r="D62" s="27"/>
      <c r="K62" s="104"/>
      <c r="L62" s="3"/>
      <c r="S62" s="95"/>
    </row>
    <row r="63" spans="1:19" x14ac:dyDescent="0.2">
      <c r="A63" s="26"/>
      <c r="B63" s="51"/>
      <c r="C63" s="27"/>
      <c r="D63" s="27"/>
      <c r="K63" s="104"/>
      <c r="L63" s="3"/>
      <c r="S63" s="95"/>
    </row>
    <row r="64" spans="1:19" x14ac:dyDescent="0.2">
      <c r="A64" s="26"/>
      <c r="C64" s="27"/>
      <c r="D64" s="27"/>
      <c r="S64" s="3"/>
    </row>
    <row r="65" spans="3:6" x14ac:dyDescent="0.2">
      <c r="C65" s="5" t="s">
        <v>222</v>
      </c>
      <c r="F65" s="5" t="s">
        <v>236</v>
      </c>
    </row>
    <row r="66" spans="3:6" x14ac:dyDescent="0.2">
      <c r="C66" s="5" t="s">
        <v>258</v>
      </c>
      <c r="F66" s="5" t="s">
        <v>259</v>
      </c>
    </row>
    <row r="67" spans="3:6" x14ac:dyDescent="0.2">
      <c r="C67" s="5" t="s">
        <v>215</v>
      </c>
      <c r="F67" s="5" t="s">
        <v>237</v>
      </c>
    </row>
    <row r="68" spans="3:6" x14ac:dyDescent="0.2">
      <c r="C68" s="5" t="s">
        <v>216</v>
      </c>
      <c r="F68" s="5" t="s">
        <v>256</v>
      </c>
    </row>
    <row r="69" spans="3:6" x14ac:dyDescent="0.2">
      <c r="C69" s="5" t="s">
        <v>217</v>
      </c>
      <c r="F69" s="5" t="s">
        <v>245</v>
      </c>
    </row>
    <row r="70" spans="3:6" x14ac:dyDescent="0.2">
      <c r="C70" s="5" t="s">
        <v>255</v>
      </c>
      <c r="F70" s="5" t="s">
        <v>238</v>
      </c>
    </row>
    <row r="71" spans="3:6" x14ac:dyDescent="0.2">
      <c r="C71" s="5" t="s">
        <v>218</v>
      </c>
      <c r="F71" s="5" t="s">
        <v>239</v>
      </c>
    </row>
    <row r="72" spans="3:6" x14ac:dyDescent="0.2">
      <c r="C72" s="5" t="s">
        <v>219</v>
      </c>
      <c r="F72" s="5" t="s">
        <v>254</v>
      </c>
    </row>
    <row r="73" spans="3:6" x14ac:dyDescent="0.2">
      <c r="C73" s="5" t="s">
        <v>223</v>
      </c>
      <c r="F73" s="5" t="s">
        <v>240</v>
      </c>
    </row>
    <row r="74" spans="3:6" x14ac:dyDescent="0.2">
      <c r="C74" s="5" t="s">
        <v>220</v>
      </c>
      <c r="F74" s="5" t="s">
        <v>235</v>
      </c>
    </row>
    <row r="75" spans="3:6" x14ac:dyDescent="0.2">
      <c r="C75" s="5" t="s">
        <v>221</v>
      </c>
      <c r="F75" s="5" t="s">
        <v>241</v>
      </c>
    </row>
    <row r="76" spans="3:6" x14ac:dyDescent="0.2">
      <c r="C76" s="99" t="s">
        <v>229</v>
      </c>
      <c r="F76" s="5" t="s">
        <v>234</v>
      </c>
    </row>
    <row r="77" spans="3:6" x14ac:dyDescent="0.2">
      <c r="C77" s="5" t="s">
        <v>257</v>
      </c>
      <c r="F77" s="5" t="s">
        <v>242</v>
      </c>
    </row>
    <row r="78" spans="3:6" x14ac:dyDescent="0.2">
      <c r="C78" s="5" t="s">
        <v>244</v>
      </c>
      <c r="D78" s="98"/>
      <c r="F78" s="25" t="s">
        <v>243</v>
      </c>
    </row>
    <row r="79" spans="3:6" x14ac:dyDescent="0.2">
      <c r="C79" s="99" t="s">
        <v>231</v>
      </c>
      <c r="F79" s="5" t="s">
        <v>233</v>
      </c>
    </row>
    <row r="80" spans="3:6" x14ac:dyDescent="0.2">
      <c r="C80" s="5" t="s">
        <v>232</v>
      </c>
      <c r="F80" s="5" t="s">
        <v>253</v>
      </c>
    </row>
    <row r="81" spans="1:17" x14ac:dyDescent="0.2">
      <c r="C81" s="5" t="s">
        <v>246</v>
      </c>
      <c r="F81" s="5" t="s">
        <v>247</v>
      </c>
    </row>
    <row r="82" spans="1:17" x14ac:dyDescent="0.2">
      <c r="C82" s="5" t="s">
        <v>248</v>
      </c>
      <c r="F82" s="5" t="s">
        <v>249</v>
      </c>
      <c r="M82" t="s">
        <v>226</v>
      </c>
      <c r="Q82" s="92">
        <v>56514.935799999999</v>
      </c>
    </row>
    <row r="83" spans="1:17" x14ac:dyDescent="0.2">
      <c r="C83" s="5" t="s">
        <v>250</v>
      </c>
      <c r="F83" s="100" t="s">
        <v>251</v>
      </c>
      <c r="Q83" s="91">
        <v>56526.8681</v>
      </c>
    </row>
    <row r="84" spans="1:17" x14ac:dyDescent="0.2">
      <c r="C84" s="99" t="s">
        <v>230</v>
      </c>
      <c r="F84" s="5" t="s">
        <v>252</v>
      </c>
      <c r="Q84" s="91">
        <v>56535.936399999999</v>
      </c>
    </row>
    <row r="85" spans="1:17" x14ac:dyDescent="0.2">
      <c r="C85" s="90"/>
      <c r="M85" t="s">
        <v>227</v>
      </c>
      <c r="Q85" s="92">
        <v>56560.914499999999</v>
      </c>
    </row>
    <row r="86" spans="1:17" x14ac:dyDescent="0.2">
      <c r="C86" s="90"/>
      <c r="Q86" s="91">
        <v>56579.688499999997</v>
      </c>
    </row>
    <row r="87" spans="1:17" x14ac:dyDescent="0.2">
      <c r="C87" s="90"/>
      <c r="Q87" s="91">
        <v>56579.847500000003</v>
      </c>
    </row>
    <row r="88" spans="1:17" x14ac:dyDescent="0.2">
      <c r="C88" s="90"/>
      <c r="P88" s="91"/>
    </row>
    <row r="89" spans="1:17" ht="14.25" customHeight="1" x14ac:dyDescent="0.2"/>
    <row r="90" spans="1:17" x14ac:dyDescent="0.2">
      <c r="A90" t="s">
        <v>228</v>
      </c>
    </row>
  </sheetData>
  <sheetProtection sheet="1" objects="1" scenarios="1"/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85"/>
  <sheetViews>
    <sheetView workbookViewId="0">
      <selection activeCell="B11" sqref="B11"/>
    </sheetView>
  </sheetViews>
  <sheetFormatPr defaultRowHeight="12.75" x14ac:dyDescent="0.2"/>
  <cols>
    <col min="1" max="1" width="25.140625" customWidth="1"/>
    <col min="2" max="2" width="11.28515625" customWidth="1"/>
    <col min="3" max="3" width="12.85546875" customWidth="1"/>
    <col min="4" max="4" width="8.140625" style="10" customWidth="1"/>
    <col min="5" max="5" width="21.28515625" customWidth="1"/>
    <col min="6" max="6" width="5.7109375" customWidth="1"/>
    <col min="7" max="7" width="11.28515625" customWidth="1"/>
    <col min="8" max="8" width="8.42578125" customWidth="1"/>
    <col min="9" max="9" width="15.5703125" customWidth="1"/>
    <col min="10" max="10" width="5.28515625" customWidth="1"/>
    <col min="11" max="11" width="12.140625" style="3" customWidth="1"/>
    <col min="12" max="12" width="8.5703125" customWidth="1"/>
    <col min="16" max="16" width="13.140625" customWidth="1"/>
    <col min="17" max="17" width="14.28515625" customWidth="1"/>
    <col min="18" max="18" width="12" customWidth="1"/>
    <col min="19" max="19" width="23.7109375" customWidth="1"/>
    <col min="20" max="20" width="13" customWidth="1"/>
    <col min="21" max="21" width="19.140625" customWidth="1"/>
  </cols>
  <sheetData>
    <row r="1" spans="1:21" x14ac:dyDescent="0.2">
      <c r="A1" t="s">
        <v>224</v>
      </c>
    </row>
    <row r="10" spans="1:21" ht="13.5" thickBot="1" x14ac:dyDescent="0.25">
      <c r="A10" s="4" t="s">
        <v>8</v>
      </c>
      <c r="B10" s="4" t="s">
        <v>9</v>
      </c>
      <c r="C10" s="4" t="s">
        <v>265</v>
      </c>
      <c r="D10" s="4" t="s">
        <v>266</v>
      </c>
      <c r="E10" s="4" t="s">
        <v>8</v>
      </c>
      <c r="F10" s="4" t="s">
        <v>9</v>
      </c>
      <c r="G10" s="4" t="s">
        <v>265</v>
      </c>
      <c r="H10" s="4" t="s">
        <v>266</v>
      </c>
      <c r="I10" s="4" t="s">
        <v>8</v>
      </c>
      <c r="J10" s="4" t="s">
        <v>9</v>
      </c>
      <c r="K10" s="4" t="s">
        <v>265</v>
      </c>
      <c r="L10" s="4" t="s">
        <v>266</v>
      </c>
    </row>
    <row r="11" spans="1:21" x14ac:dyDescent="0.2">
      <c r="A11" s="5" t="s">
        <v>267</v>
      </c>
      <c r="B11" s="3" t="e">
        <f>VLOOKUP(C11,'Active 1'!#REF!,2,FALSE)</f>
        <v>#REF!</v>
      </c>
      <c r="C11" s="10">
        <v>51479.656600000002</v>
      </c>
      <c r="D11" s="10" t="s">
        <v>15</v>
      </c>
      <c r="E11" s="5" t="s">
        <v>218</v>
      </c>
      <c r="F11" s="3" t="e">
        <f>VLOOKUP(G11,'Active 1'!#REF!,2,FALSE)</f>
        <v>#REF!</v>
      </c>
      <c r="G11" s="10">
        <v>55144.318899999998</v>
      </c>
      <c r="H11" s="10">
        <v>8.0000000000000004E-4</v>
      </c>
      <c r="I11" s="99" t="s">
        <v>229</v>
      </c>
      <c r="J11" s="3" t="e">
        <f>VLOOKUP(K11,'Active 1'!#REF!,2,FALSE)</f>
        <v>#REF!</v>
      </c>
      <c r="K11" s="10">
        <v>56535.936399999999</v>
      </c>
      <c r="L11" s="10">
        <v>1E-4</v>
      </c>
      <c r="P11" s="10"/>
      <c r="Q11" s="10"/>
      <c r="R11" s="26"/>
      <c r="S11" s="86"/>
    </row>
    <row r="12" spans="1:21" x14ac:dyDescent="0.2">
      <c r="A12" s="5" t="s">
        <v>258</v>
      </c>
      <c r="B12" s="3" t="e">
        <f>VLOOKUP(C12,'Active 1'!#REF!,2,FALSE)</f>
        <v>#REF!</v>
      </c>
      <c r="C12" s="27">
        <v>52898.811500000003</v>
      </c>
      <c r="D12" s="27" t="s">
        <v>15</v>
      </c>
      <c r="E12" s="5" t="s">
        <v>255</v>
      </c>
      <c r="F12" s="3" t="e">
        <f>VLOOKUP(G12,'Active 1'!#REF!,2,FALSE)</f>
        <v>#REF!</v>
      </c>
      <c r="G12" s="10">
        <v>55392.507100000003</v>
      </c>
      <c r="H12" s="10">
        <v>2.9999999999999997E-4</v>
      </c>
      <c r="I12" s="99" t="s">
        <v>229</v>
      </c>
      <c r="J12" s="3" t="e">
        <f>VLOOKUP(K12,'Active 1'!#REF!,2,FALSE)</f>
        <v>#REF!</v>
      </c>
      <c r="K12" s="10">
        <v>56560.914499999999</v>
      </c>
      <c r="L12" s="10">
        <v>2.0000000000000001E-4</v>
      </c>
      <c r="S12" s="3"/>
    </row>
    <row r="13" spans="1:21" x14ac:dyDescent="0.2">
      <c r="A13" s="5" t="s">
        <v>215</v>
      </c>
      <c r="B13" s="3" t="e">
        <f>VLOOKUP(C13,'Active 1'!#REF!,2,FALSE)</f>
        <v>#REF!</v>
      </c>
      <c r="C13" s="10">
        <v>54049.407800000001</v>
      </c>
      <c r="D13" s="10">
        <v>2.5000000000000001E-3</v>
      </c>
      <c r="E13" s="5" t="s">
        <v>219</v>
      </c>
      <c r="F13" s="3" t="e">
        <f>VLOOKUP(G13,'Active 1'!#REF!,2,FALSE)</f>
        <v>#REF!</v>
      </c>
      <c r="G13" s="10">
        <v>55487.329400000002</v>
      </c>
      <c r="H13" s="10">
        <v>2.0000000000000001E-4</v>
      </c>
      <c r="I13" s="99" t="s">
        <v>229</v>
      </c>
      <c r="J13" s="3" t="e">
        <f>VLOOKUP(K13,'Active 1'!#REF!,2,FALSE)</f>
        <v>#REF!</v>
      </c>
      <c r="K13" s="10">
        <v>56579.688499999997</v>
      </c>
      <c r="L13" s="10">
        <v>1E-4</v>
      </c>
      <c r="P13" s="10"/>
      <c r="Q13" s="42"/>
      <c r="R13" s="42"/>
      <c r="S13" s="86"/>
      <c r="T13" s="27"/>
      <c r="U13" s="26"/>
    </row>
    <row r="14" spans="1:21" x14ac:dyDescent="0.2">
      <c r="A14" s="5" t="s">
        <v>216</v>
      </c>
      <c r="B14" s="3" t="e">
        <f>VLOOKUP(C14,'Active 1'!#REF!,2,FALSE)</f>
        <v>#REF!</v>
      </c>
      <c r="C14" s="10">
        <v>54062.457999999999</v>
      </c>
      <c r="D14" s="10">
        <v>2.5000000000000001E-3</v>
      </c>
      <c r="E14" s="5" t="s">
        <v>219</v>
      </c>
      <c r="F14" s="3" t="e">
        <f>VLOOKUP(G14,'Active 1'!#REF!,2,FALSE)</f>
        <v>#REF!</v>
      </c>
      <c r="G14" s="10">
        <v>55487.488899999997</v>
      </c>
      <c r="H14" s="10">
        <v>1E-4</v>
      </c>
      <c r="I14" s="99" t="s">
        <v>229</v>
      </c>
      <c r="J14" s="3" t="e">
        <f>VLOOKUP(K14,'Active 1'!#REF!,2,FALSE)</f>
        <v>#REF!</v>
      </c>
      <c r="K14" s="10">
        <v>56579.847500000003</v>
      </c>
      <c r="L14" s="10">
        <v>1E-4</v>
      </c>
      <c r="P14" s="10"/>
      <c r="Q14" s="10"/>
      <c r="R14" s="83"/>
      <c r="S14" s="43"/>
    </row>
    <row r="15" spans="1:21" x14ac:dyDescent="0.2">
      <c r="A15" s="5" t="s">
        <v>216</v>
      </c>
      <c r="B15" s="3" t="e">
        <f>VLOOKUP(C15,'Active 1'!#REF!,2,FALSE)</f>
        <v>#REF!</v>
      </c>
      <c r="C15" s="10">
        <v>54080.433299999997</v>
      </c>
      <c r="D15" s="10">
        <v>2.5999999999999999E-3</v>
      </c>
      <c r="E15" s="5" t="s">
        <v>223</v>
      </c>
      <c r="F15" s="3" t="e">
        <f>VLOOKUP(G15,'Active 1'!#REF!,2,FALSE)</f>
        <v>#REF!</v>
      </c>
      <c r="G15" s="10">
        <v>55509.284119999997</v>
      </c>
      <c r="H15" s="10">
        <v>2.5000000000000001E-4</v>
      </c>
      <c r="I15" s="5" t="s">
        <v>257</v>
      </c>
      <c r="J15" s="3" t="e">
        <f>VLOOKUP(K15,'Active 1'!#REF!,2,FALSE)</f>
        <v>#REF!</v>
      </c>
      <c r="K15" s="10">
        <v>56630.281000000003</v>
      </c>
      <c r="L15" s="10">
        <v>2.5000000000000001E-3</v>
      </c>
      <c r="P15" s="10"/>
      <c r="Q15" s="10"/>
      <c r="R15" s="83"/>
      <c r="S15" s="3"/>
    </row>
    <row r="16" spans="1:21" x14ac:dyDescent="0.2">
      <c r="A16" s="5" t="s">
        <v>216</v>
      </c>
      <c r="B16" s="3" t="e">
        <f>VLOOKUP(C16,'Active 1'!#REF!,2,FALSE)</f>
        <v>#REF!</v>
      </c>
      <c r="C16" s="10">
        <v>54081.387699999999</v>
      </c>
      <c r="D16" s="10">
        <v>3.8E-3</v>
      </c>
      <c r="E16" s="5" t="s">
        <v>219</v>
      </c>
      <c r="F16" s="3" t="e">
        <f>VLOOKUP(G16,'Active 1'!#REF!,2,FALSE)</f>
        <v>#REF!</v>
      </c>
      <c r="G16" s="10">
        <v>55509.444000000003</v>
      </c>
      <c r="H16" s="10">
        <v>8.0000000000000004E-4</v>
      </c>
      <c r="I16" s="5" t="s">
        <v>257</v>
      </c>
      <c r="J16" s="3" t="e">
        <f>VLOOKUP(K16,'Active 1'!#REF!,2,FALSE)</f>
        <v>#REF!</v>
      </c>
      <c r="K16" s="10">
        <v>56630.440600000002</v>
      </c>
      <c r="L16" s="10">
        <v>1.8E-3</v>
      </c>
      <c r="P16" s="10"/>
      <c r="Q16" s="10"/>
      <c r="R16" s="83"/>
      <c r="S16" s="3"/>
    </row>
    <row r="17" spans="1:19" x14ac:dyDescent="0.2">
      <c r="A17" s="5" t="s">
        <v>216</v>
      </c>
      <c r="B17" s="3" t="e">
        <f>VLOOKUP(C17,'Active 1'!#REF!,2,FALSE)</f>
        <v>#REF!</v>
      </c>
      <c r="C17" s="10">
        <v>54083.2978</v>
      </c>
      <c r="D17" s="10">
        <v>2.0999999999999999E-3</v>
      </c>
      <c r="E17" s="5" t="s">
        <v>219</v>
      </c>
      <c r="F17" s="3" t="e">
        <f>VLOOKUP(G17,'Active 1'!#REF!,2,FALSE)</f>
        <v>#REF!</v>
      </c>
      <c r="G17" s="10">
        <v>55528.376799999998</v>
      </c>
      <c r="H17" s="10">
        <v>6.0000000000000002E-5</v>
      </c>
      <c r="I17" s="99" t="s">
        <v>231</v>
      </c>
      <c r="J17" s="3" t="e">
        <f>VLOOKUP(K17,'Active 1'!#REF!,2,FALSE)</f>
        <v>#REF!</v>
      </c>
      <c r="K17" s="91">
        <v>56928.746099999997</v>
      </c>
      <c r="L17" s="10">
        <v>2.0000000000000001E-4</v>
      </c>
      <c r="P17" s="10"/>
      <c r="Q17" s="10"/>
      <c r="R17" s="83"/>
      <c r="S17" s="3"/>
    </row>
    <row r="18" spans="1:19" x14ac:dyDescent="0.2">
      <c r="A18" s="5" t="s">
        <v>216</v>
      </c>
      <c r="B18" s="3" t="e">
        <f>VLOOKUP(C18,'Active 1'!#REF!,2,FALSE)</f>
        <v>#REF!</v>
      </c>
      <c r="C18" s="10">
        <v>54083.458299999998</v>
      </c>
      <c r="D18" s="10">
        <v>1.6999999999999999E-3</v>
      </c>
      <c r="E18" s="5" t="s">
        <v>223</v>
      </c>
      <c r="F18" s="3" t="e">
        <f>VLOOKUP(G18,'Active 1'!#REF!,2,FALSE)</f>
        <v>#REF!</v>
      </c>
      <c r="G18" s="10">
        <v>55538.241670000003</v>
      </c>
      <c r="H18" s="10">
        <v>6.0000000000000002E-5</v>
      </c>
      <c r="I18" s="5" t="s">
        <v>232</v>
      </c>
      <c r="J18" s="3" t="e">
        <f>VLOOKUP(K18,'Active 1'!#REF!,2,FALSE)</f>
        <v>#REF!</v>
      </c>
      <c r="K18" s="81">
        <v>56949.109800000209</v>
      </c>
      <c r="L18" s="102" t="s">
        <v>15</v>
      </c>
      <c r="P18" s="10"/>
      <c r="Q18" s="10"/>
      <c r="R18" s="83"/>
      <c r="S18" s="3"/>
    </row>
    <row r="19" spans="1:19" x14ac:dyDescent="0.2">
      <c r="A19" s="5" t="s">
        <v>215</v>
      </c>
      <c r="B19" s="3" t="e">
        <f>VLOOKUP(C19,'Active 1'!#REF!,2,FALSE)</f>
        <v>#REF!</v>
      </c>
      <c r="C19" s="10">
        <v>54084.412700000001</v>
      </c>
      <c r="D19" s="10">
        <v>2.5000000000000001E-3</v>
      </c>
      <c r="E19" s="5" t="s">
        <v>219</v>
      </c>
      <c r="F19" s="3" t="e">
        <f>VLOOKUP(G19,'Active 1'!#REF!,2,FALSE)</f>
        <v>#REF!</v>
      </c>
      <c r="G19" s="10">
        <v>55551.287199999999</v>
      </c>
      <c r="H19" s="10">
        <v>1E-4</v>
      </c>
      <c r="I19" s="5" t="s">
        <v>232</v>
      </c>
      <c r="J19" s="3" t="e">
        <f>VLOOKUP(K19,'Active 1'!#REF!,2,FALSE)</f>
        <v>#REF!</v>
      </c>
      <c r="K19" s="81">
        <v>56949.27</v>
      </c>
      <c r="L19" s="102" t="s">
        <v>15</v>
      </c>
      <c r="P19" s="10"/>
      <c r="Q19" s="42"/>
      <c r="R19" s="42"/>
      <c r="S19" s="3"/>
    </row>
    <row r="20" spans="1:19" x14ac:dyDescent="0.2">
      <c r="A20" s="5" t="s">
        <v>216</v>
      </c>
      <c r="B20" s="3" t="e">
        <f>VLOOKUP(C20,'Active 1'!#REF!,2,FALSE)</f>
        <v>#REF!</v>
      </c>
      <c r="C20" s="10">
        <v>54095.389300000003</v>
      </c>
      <c r="D20" s="10">
        <v>2E-3</v>
      </c>
      <c r="E20" s="5" t="s">
        <v>219</v>
      </c>
      <c r="F20" s="3" t="e">
        <f>VLOOKUP(G20,'Active 1'!#REF!,2,FALSE)</f>
        <v>#REF!</v>
      </c>
      <c r="G20" s="10">
        <v>55553.196199999998</v>
      </c>
      <c r="H20" s="10">
        <v>1E-4</v>
      </c>
      <c r="I20" s="5" t="s">
        <v>246</v>
      </c>
      <c r="J20" s="3" t="e">
        <f>VLOOKUP(K20,'Active 1'!#REF!,2,FALSE)</f>
        <v>#REF!</v>
      </c>
      <c r="K20" s="70">
        <v>56978.385000000002</v>
      </c>
      <c r="L20" s="10">
        <v>1.4E-3</v>
      </c>
      <c r="P20" s="10"/>
      <c r="Q20" s="10"/>
      <c r="R20" s="83"/>
      <c r="S20" s="43"/>
    </row>
    <row r="21" spans="1:19" x14ac:dyDescent="0.2">
      <c r="A21" s="5" t="s">
        <v>217</v>
      </c>
      <c r="B21" s="3" t="e">
        <f>VLOOKUP(C21,'Active 1'!#REF!,2,FALSE)</f>
        <v>#REF!</v>
      </c>
      <c r="C21" s="10">
        <v>54507.298000000003</v>
      </c>
      <c r="D21" s="10">
        <v>0.01</v>
      </c>
      <c r="E21" s="5" t="s">
        <v>223</v>
      </c>
      <c r="F21" s="3" t="e">
        <f>VLOOKUP(G21,'Active 1'!#REF!,2,FALSE)</f>
        <v>#REF!</v>
      </c>
      <c r="G21" s="10">
        <v>55553.353020000002</v>
      </c>
      <c r="H21" s="10">
        <v>6.9999999999999994E-5</v>
      </c>
      <c r="I21" s="5" t="s">
        <v>246</v>
      </c>
      <c r="J21" s="3" t="e">
        <f>VLOOKUP(K21,'Active 1'!#REF!,2,FALSE)</f>
        <v>#REF!</v>
      </c>
      <c r="K21" s="70">
        <v>56978.542699999998</v>
      </c>
      <c r="L21" s="10">
        <v>1.5E-3</v>
      </c>
      <c r="P21" s="10"/>
      <c r="Q21" s="28"/>
      <c r="R21" s="42"/>
      <c r="S21" s="3"/>
    </row>
    <row r="22" spans="1:19" x14ac:dyDescent="0.2">
      <c r="A22" s="5" t="s">
        <v>217</v>
      </c>
      <c r="B22" s="3" t="e">
        <f>VLOOKUP(C22,'Active 1'!#REF!,2,FALSE)</f>
        <v>#REF!</v>
      </c>
      <c r="C22" s="10">
        <v>54808.303999999996</v>
      </c>
      <c r="D22" s="10">
        <v>0.01</v>
      </c>
      <c r="E22" s="103" t="s">
        <v>220</v>
      </c>
      <c r="F22" s="3" t="e">
        <f>VLOOKUP(G22,'Active 1'!#REF!,2,FALSE)</f>
        <v>#REF!</v>
      </c>
      <c r="G22" s="10">
        <v>56167.946000000004</v>
      </c>
      <c r="H22" s="10">
        <v>2E-3</v>
      </c>
      <c r="I22" s="5" t="s">
        <v>248</v>
      </c>
      <c r="J22" s="3" t="e">
        <f>VLOOKUP(K22,'Active 1'!#REF!,2,FALSE)</f>
        <v>#REF!</v>
      </c>
      <c r="K22" s="80">
        <v>57329.351699999999</v>
      </c>
      <c r="L22" s="10">
        <v>1.9E-3</v>
      </c>
      <c r="P22" s="10"/>
      <c r="Q22" s="42"/>
      <c r="R22" s="42"/>
      <c r="S22" s="43"/>
    </row>
    <row r="23" spans="1:19" x14ac:dyDescent="0.2">
      <c r="A23" s="5" t="s">
        <v>255</v>
      </c>
      <c r="B23" s="3" t="e">
        <f>VLOOKUP(C23,'Active 1'!#REF!,2,FALSE)</f>
        <v>#REF!</v>
      </c>
      <c r="C23" s="10">
        <v>55080.362500000003</v>
      </c>
      <c r="D23" s="10">
        <v>1E-4</v>
      </c>
      <c r="E23" s="5" t="s">
        <v>221</v>
      </c>
      <c r="F23" s="3" t="e">
        <f>VLOOKUP(G23,'Active 1'!#REF!,2,FALSE)</f>
        <v>#REF!</v>
      </c>
      <c r="G23" s="10">
        <v>56279.6322</v>
      </c>
      <c r="H23" s="10">
        <v>1E-4</v>
      </c>
      <c r="I23" s="5" t="s">
        <v>248</v>
      </c>
      <c r="J23" s="3" t="e">
        <f>VLOOKUP(K23,'Active 1'!#REF!,2,FALSE)</f>
        <v>#REF!</v>
      </c>
      <c r="K23" s="80">
        <v>57329.5101</v>
      </c>
      <c r="L23" s="10">
        <v>1.9E-3</v>
      </c>
      <c r="P23" s="10"/>
      <c r="Q23" s="42"/>
      <c r="R23" s="42"/>
      <c r="S23" s="43"/>
    </row>
    <row r="24" spans="1:19" x14ac:dyDescent="0.2">
      <c r="A24" s="5" t="s">
        <v>218</v>
      </c>
      <c r="B24" s="3" t="e">
        <f>VLOOKUP(C24,'Active 1'!#REF!,2,FALSE)</f>
        <v>#REF!</v>
      </c>
      <c r="C24" s="10">
        <v>55080.518199999999</v>
      </c>
      <c r="D24" s="10">
        <v>1E-4</v>
      </c>
      <c r="E24" s="99" t="s">
        <v>229</v>
      </c>
      <c r="F24" s="3" t="e">
        <f>VLOOKUP(G24,'Active 1'!#REF!,2,FALSE)</f>
        <v>#REF!</v>
      </c>
      <c r="G24" s="10">
        <v>56514.935799999999</v>
      </c>
      <c r="H24" s="10">
        <v>2.0000000000000001E-4</v>
      </c>
      <c r="I24" s="5" t="s">
        <v>248</v>
      </c>
      <c r="J24" s="3" t="e">
        <f>VLOOKUP(K24,'Active 1'!#REF!,2,FALSE)</f>
        <v>#REF!</v>
      </c>
      <c r="K24" s="80">
        <v>57329.669099999999</v>
      </c>
      <c r="L24" s="10">
        <v>3.2000000000000002E-3</v>
      </c>
      <c r="P24" s="10"/>
      <c r="Q24" s="42"/>
      <c r="R24" s="42"/>
      <c r="S24" s="43"/>
    </row>
    <row r="25" spans="1:19" x14ac:dyDescent="0.2">
      <c r="A25" s="5" t="s">
        <v>218</v>
      </c>
      <c r="B25" s="3" t="e">
        <f>VLOOKUP(C25,'Active 1'!#REF!,2,FALSE)</f>
        <v>#REF!</v>
      </c>
      <c r="C25" s="10">
        <v>55103.427900000002</v>
      </c>
      <c r="D25" s="10">
        <v>2.9999999999999997E-4</v>
      </c>
      <c r="E25" s="5" t="s">
        <v>244</v>
      </c>
      <c r="F25" s="3" t="e">
        <f>VLOOKUP(G25,'Active 1'!#REF!,2,FALSE)</f>
        <v>#REF!</v>
      </c>
      <c r="G25" s="69">
        <v>56516.525999999998</v>
      </c>
      <c r="H25" s="10">
        <v>7.0000000000000001E-3</v>
      </c>
      <c r="I25" s="5" t="s">
        <v>250</v>
      </c>
      <c r="J25" s="3" t="e">
        <f>VLOOKUP(K25,'Active 1'!#REF!,2,FALSE)</f>
        <v>#REF!</v>
      </c>
      <c r="K25" s="74">
        <v>57758.275999999998</v>
      </c>
      <c r="L25" s="10">
        <v>4.0000000000000001E-3</v>
      </c>
      <c r="P25" s="10"/>
      <c r="Q25" s="42"/>
      <c r="R25" s="42"/>
      <c r="S25" s="43"/>
    </row>
    <row r="26" spans="1:19" x14ac:dyDescent="0.2">
      <c r="A26" s="5" t="s">
        <v>218</v>
      </c>
      <c r="B26" s="3" t="e">
        <f>VLOOKUP(C26,'Active 1'!#REF!,2,FALSE)</f>
        <v>#REF!</v>
      </c>
      <c r="C26" s="10">
        <v>55103.5887</v>
      </c>
      <c r="D26" s="10">
        <v>4.0000000000000002E-4</v>
      </c>
      <c r="E26" s="99" t="s">
        <v>229</v>
      </c>
      <c r="F26" s="3" t="e">
        <f>VLOOKUP(G26,'Active 1'!#REF!,2,FALSE)</f>
        <v>#REF!</v>
      </c>
      <c r="G26" s="10">
        <v>56526.8681</v>
      </c>
      <c r="H26" s="10">
        <v>2.9999999999999997E-4</v>
      </c>
      <c r="I26" s="99" t="s">
        <v>230</v>
      </c>
      <c r="J26" s="3" t="e">
        <f>VLOOKUP(K26,'Active 1'!#REF!,2,FALSE)</f>
        <v>#REF!</v>
      </c>
      <c r="K26" s="101">
        <v>58098.586000000003</v>
      </c>
      <c r="L26" s="10">
        <v>2.9999999999999997E-4</v>
      </c>
      <c r="P26" s="10"/>
      <c r="Q26" s="42"/>
      <c r="R26" s="42"/>
      <c r="S26" s="43"/>
    </row>
    <row r="27" spans="1:19" x14ac:dyDescent="0.2">
      <c r="L27" s="3"/>
      <c r="P27" s="10"/>
      <c r="Q27" s="42"/>
      <c r="R27" s="42"/>
      <c r="S27" s="43"/>
    </row>
    <row r="28" spans="1:19" x14ac:dyDescent="0.2">
      <c r="L28" s="3"/>
      <c r="P28" s="10"/>
      <c r="Q28" s="42"/>
      <c r="R28" s="42"/>
      <c r="S28" s="43"/>
    </row>
    <row r="29" spans="1:19" x14ac:dyDescent="0.2">
      <c r="L29" s="3"/>
      <c r="P29" s="10"/>
      <c r="Q29" s="84"/>
      <c r="R29" s="45"/>
      <c r="S29" s="43"/>
    </row>
    <row r="30" spans="1:19" x14ac:dyDescent="0.2">
      <c r="L30" s="3"/>
      <c r="P30" s="10"/>
      <c r="Q30" s="47"/>
      <c r="R30" s="45"/>
      <c r="S30" s="46"/>
    </row>
    <row r="31" spans="1:19" x14ac:dyDescent="0.2">
      <c r="L31" s="3"/>
      <c r="P31" s="10"/>
      <c r="Q31" s="10"/>
      <c r="R31" s="68"/>
      <c r="S31" s="87"/>
    </row>
    <row r="32" spans="1:19" x14ac:dyDescent="0.2">
      <c r="L32" s="3"/>
      <c r="P32" s="10"/>
      <c r="Q32" s="47"/>
      <c r="R32" s="45"/>
      <c r="S32" s="46"/>
    </row>
    <row r="33" spans="11:21" x14ac:dyDescent="0.2">
      <c r="L33" s="3"/>
      <c r="P33" s="10"/>
      <c r="Q33" s="47"/>
      <c r="R33" s="45"/>
      <c r="S33" s="3"/>
    </row>
    <row r="34" spans="11:21" x14ac:dyDescent="0.2">
      <c r="L34" s="3"/>
      <c r="P34" s="10"/>
      <c r="Q34" s="10"/>
      <c r="R34" s="68"/>
      <c r="S34" s="44"/>
    </row>
    <row r="35" spans="11:21" x14ac:dyDescent="0.2">
      <c r="L35" s="3"/>
      <c r="P35" s="10"/>
      <c r="Q35" s="47"/>
      <c r="R35" s="45"/>
      <c r="S35" s="46"/>
    </row>
    <row r="36" spans="11:21" x14ac:dyDescent="0.2">
      <c r="L36" s="3"/>
      <c r="P36" s="10"/>
      <c r="Q36" s="47"/>
      <c r="R36" s="45"/>
      <c r="S36" s="46"/>
    </row>
    <row r="37" spans="11:21" x14ac:dyDescent="0.2">
      <c r="L37" s="3"/>
      <c r="P37" s="10"/>
      <c r="Q37" s="10"/>
      <c r="R37" s="68"/>
      <c r="S37" s="44"/>
    </row>
    <row r="38" spans="11:21" x14ac:dyDescent="0.2">
      <c r="L38" s="3"/>
      <c r="P38" s="10"/>
      <c r="Q38" s="96"/>
      <c r="R38" s="97"/>
      <c r="S38" s="46"/>
    </row>
    <row r="39" spans="11:21" x14ac:dyDescent="0.2">
      <c r="L39" s="3"/>
      <c r="P39" s="10"/>
      <c r="Q39" s="27"/>
      <c r="R39" s="50"/>
      <c r="S39" s="46"/>
    </row>
    <row r="40" spans="11:21" x14ac:dyDescent="0.2">
      <c r="K40" s="104"/>
      <c r="L40" s="3"/>
      <c r="P40" s="10"/>
      <c r="Q40" s="92"/>
      <c r="R40" s="93"/>
      <c r="S40" s="46"/>
    </row>
    <row r="41" spans="11:21" x14ac:dyDescent="0.2">
      <c r="K41" s="104"/>
      <c r="L41" s="3"/>
      <c r="S41" s="68"/>
    </row>
    <row r="42" spans="11:21" x14ac:dyDescent="0.2">
      <c r="K42" s="104"/>
      <c r="L42" s="3"/>
      <c r="P42" s="10"/>
      <c r="Q42" s="91"/>
      <c r="R42" s="94"/>
      <c r="S42" s="3"/>
    </row>
    <row r="43" spans="11:21" x14ac:dyDescent="0.2">
      <c r="K43" s="104"/>
      <c r="L43" s="3"/>
      <c r="P43" s="10"/>
      <c r="Q43" s="91"/>
      <c r="R43" s="94"/>
      <c r="S43" s="44"/>
    </row>
    <row r="44" spans="11:21" x14ac:dyDescent="0.2">
      <c r="K44" s="104"/>
      <c r="L44" s="3"/>
      <c r="P44" s="10"/>
      <c r="Q44" s="92"/>
      <c r="R44" s="93"/>
      <c r="S44" s="51"/>
    </row>
    <row r="45" spans="11:21" x14ac:dyDescent="0.2">
      <c r="K45" s="104"/>
      <c r="L45" s="3"/>
      <c r="P45" s="10"/>
      <c r="Q45" s="91"/>
      <c r="R45" s="94"/>
      <c r="S45" s="49"/>
    </row>
    <row r="46" spans="11:21" x14ac:dyDescent="0.2">
      <c r="K46" s="104"/>
      <c r="L46" s="3"/>
      <c r="P46" s="10"/>
      <c r="Q46" s="91"/>
      <c r="R46" s="94"/>
      <c r="S46" s="87"/>
      <c r="T46" s="27"/>
      <c r="U46" s="48"/>
    </row>
    <row r="47" spans="11:21" x14ac:dyDescent="0.2">
      <c r="L47" s="3"/>
      <c r="P47" s="10"/>
      <c r="Q47" s="27"/>
      <c r="R47" s="45"/>
      <c r="S47" s="44"/>
    </row>
    <row r="48" spans="11:21" x14ac:dyDescent="0.2">
      <c r="L48" s="3"/>
      <c r="P48" s="10"/>
      <c r="Q48" s="27"/>
      <c r="R48" s="45"/>
      <c r="S48" s="49"/>
    </row>
    <row r="49" spans="1:19" x14ac:dyDescent="0.2">
      <c r="K49" s="104"/>
      <c r="L49" s="3"/>
      <c r="S49" s="94"/>
    </row>
    <row r="50" spans="1:19" x14ac:dyDescent="0.2">
      <c r="K50" s="104"/>
      <c r="L50" s="3"/>
      <c r="S50" s="68"/>
    </row>
    <row r="51" spans="1:19" x14ac:dyDescent="0.2">
      <c r="K51" s="104"/>
      <c r="L51" s="3"/>
      <c r="S51" s="68"/>
    </row>
    <row r="52" spans="1:19" x14ac:dyDescent="0.2">
      <c r="K52" s="105"/>
      <c r="L52" s="3"/>
      <c r="S52" s="70"/>
    </row>
    <row r="53" spans="1:19" x14ac:dyDescent="0.2">
      <c r="K53" s="105"/>
      <c r="L53" s="3"/>
      <c r="S53" s="70"/>
    </row>
    <row r="54" spans="1:19" x14ac:dyDescent="0.2">
      <c r="K54" s="105"/>
      <c r="L54" s="3"/>
      <c r="S54" s="78"/>
    </row>
    <row r="55" spans="1:19" x14ac:dyDescent="0.2">
      <c r="K55" s="105"/>
      <c r="L55" s="3"/>
      <c r="S55" s="78"/>
    </row>
    <row r="56" spans="1:19" x14ac:dyDescent="0.2">
      <c r="K56" s="105"/>
      <c r="L56" s="3"/>
      <c r="S56" s="78"/>
    </row>
    <row r="57" spans="1:19" x14ac:dyDescent="0.2">
      <c r="K57" s="104"/>
      <c r="L57" s="3"/>
      <c r="S57" s="72"/>
    </row>
    <row r="58" spans="1:19" x14ac:dyDescent="0.2">
      <c r="K58" s="104"/>
      <c r="L58" s="3"/>
      <c r="S58" s="95"/>
    </row>
    <row r="59" spans="1:19" x14ac:dyDescent="0.2">
      <c r="A59" s="26"/>
      <c r="C59" s="27"/>
      <c r="D59" s="27"/>
      <c r="S59" s="3"/>
    </row>
    <row r="60" spans="1:19" x14ac:dyDescent="0.2">
      <c r="C60" s="5" t="s">
        <v>222</v>
      </c>
      <c r="F60" s="5" t="s">
        <v>236</v>
      </c>
    </row>
    <row r="61" spans="1:19" x14ac:dyDescent="0.2">
      <c r="C61" s="5" t="s">
        <v>258</v>
      </c>
      <c r="F61" s="5" t="s">
        <v>259</v>
      </c>
    </row>
    <row r="62" spans="1:19" x14ac:dyDescent="0.2">
      <c r="C62" s="5" t="s">
        <v>215</v>
      </c>
      <c r="F62" s="5" t="s">
        <v>237</v>
      </c>
    </row>
    <row r="63" spans="1:19" x14ac:dyDescent="0.2">
      <c r="C63" s="5" t="s">
        <v>216</v>
      </c>
      <c r="F63" s="5" t="s">
        <v>256</v>
      </c>
    </row>
    <row r="64" spans="1:19" x14ac:dyDescent="0.2">
      <c r="C64" s="5" t="s">
        <v>217</v>
      </c>
      <c r="F64" s="5" t="s">
        <v>245</v>
      </c>
    </row>
    <row r="65" spans="3:17" x14ac:dyDescent="0.2">
      <c r="C65" s="5" t="s">
        <v>255</v>
      </c>
      <c r="F65" s="5" t="s">
        <v>238</v>
      </c>
    </row>
    <row r="66" spans="3:17" x14ac:dyDescent="0.2">
      <c r="C66" s="5" t="s">
        <v>218</v>
      </c>
      <c r="F66" s="5" t="s">
        <v>239</v>
      </c>
    </row>
    <row r="67" spans="3:17" x14ac:dyDescent="0.2">
      <c r="C67" s="5" t="s">
        <v>219</v>
      </c>
      <c r="F67" s="5" t="s">
        <v>254</v>
      </c>
    </row>
    <row r="68" spans="3:17" x14ac:dyDescent="0.2">
      <c r="C68" s="5" t="s">
        <v>223</v>
      </c>
      <c r="F68" s="5" t="s">
        <v>240</v>
      </c>
    </row>
    <row r="69" spans="3:17" x14ac:dyDescent="0.2">
      <c r="C69" s="5" t="s">
        <v>220</v>
      </c>
      <c r="F69" s="5" t="s">
        <v>235</v>
      </c>
    </row>
    <row r="70" spans="3:17" x14ac:dyDescent="0.2">
      <c r="C70" s="5" t="s">
        <v>221</v>
      </c>
      <c r="F70" s="5" t="s">
        <v>241</v>
      </c>
    </row>
    <row r="71" spans="3:17" x14ac:dyDescent="0.2">
      <c r="C71" s="99" t="s">
        <v>229</v>
      </c>
      <c r="F71" s="5" t="s">
        <v>234</v>
      </c>
    </row>
    <row r="72" spans="3:17" x14ac:dyDescent="0.2">
      <c r="C72" s="5" t="s">
        <v>257</v>
      </c>
      <c r="F72" s="5" t="s">
        <v>242</v>
      </c>
    </row>
    <row r="73" spans="3:17" x14ac:dyDescent="0.2">
      <c r="C73" s="5" t="s">
        <v>244</v>
      </c>
      <c r="D73" s="98"/>
      <c r="F73" s="25" t="s">
        <v>243</v>
      </c>
    </row>
    <row r="74" spans="3:17" x14ac:dyDescent="0.2">
      <c r="C74" s="99" t="s">
        <v>231</v>
      </c>
      <c r="F74" s="5" t="s">
        <v>233</v>
      </c>
    </row>
    <row r="75" spans="3:17" x14ac:dyDescent="0.2">
      <c r="C75" s="5" t="s">
        <v>232</v>
      </c>
      <c r="F75" s="5" t="s">
        <v>253</v>
      </c>
    </row>
    <row r="76" spans="3:17" x14ac:dyDescent="0.2">
      <c r="C76" s="5" t="s">
        <v>246</v>
      </c>
      <c r="F76" s="5" t="s">
        <v>247</v>
      </c>
    </row>
    <row r="77" spans="3:17" x14ac:dyDescent="0.2">
      <c r="C77" s="5" t="s">
        <v>248</v>
      </c>
      <c r="F77" s="5" t="s">
        <v>249</v>
      </c>
      <c r="M77" t="s">
        <v>226</v>
      </c>
      <c r="Q77" s="92">
        <v>56514.935799999999</v>
      </c>
    </row>
    <row r="78" spans="3:17" x14ac:dyDescent="0.2">
      <c r="C78" s="5" t="s">
        <v>250</v>
      </c>
      <c r="F78" s="100" t="s">
        <v>251</v>
      </c>
      <c r="Q78" s="91">
        <v>56526.8681</v>
      </c>
    </row>
    <row r="79" spans="3:17" x14ac:dyDescent="0.2">
      <c r="C79" s="99" t="s">
        <v>230</v>
      </c>
      <c r="F79" s="5" t="s">
        <v>252</v>
      </c>
      <c r="Q79" s="91">
        <v>56535.936399999999</v>
      </c>
    </row>
    <row r="80" spans="3:17" x14ac:dyDescent="0.2">
      <c r="C80" s="90"/>
      <c r="M80" t="s">
        <v>227</v>
      </c>
      <c r="Q80" s="92">
        <v>56560.914499999999</v>
      </c>
    </row>
    <row r="81" spans="1:17" x14ac:dyDescent="0.2">
      <c r="C81" s="90"/>
      <c r="Q81" s="91">
        <v>56579.688499999997</v>
      </c>
    </row>
    <row r="82" spans="1:17" x14ac:dyDescent="0.2">
      <c r="C82" s="90"/>
      <c r="Q82" s="91">
        <v>56579.847500000003</v>
      </c>
    </row>
    <row r="83" spans="1:17" x14ac:dyDescent="0.2">
      <c r="C83" s="90"/>
      <c r="P83" s="91"/>
    </row>
    <row r="84" spans="1:17" ht="14.25" customHeight="1" x14ac:dyDescent="0.2"/>
    <row r="85" spans="1:17" x14ac:dyDescent="0.2">
      <c r="A85" t="s">
        <v>228</v>
      </c>
    </row>
  </sheetData>
  <sheetProtection sheet="1" objects="1" scenarios="1"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Active 2</vt:lpstr>
      <vt:lpstr>BAV</vt:lpstr>
      <vt:lpstr>New_list (1)</vt:lpstr>
      <vt:lpstr>New_list (2)</vt:lpstr>
      <vt:lpstr>New_list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2023-01-02T03:35:14Z</dcterms:modified>
</cp:coreProperties>
</file>