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88AF2920-F096-481F-A241-E2DA8A2526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 s="1"/>
  <c r="K25" i="1" s="1"/>
  <c r="Q25" i="1"/>
  <c r="E22" i="1"/>
  <c r="F22" i="1"/>
  <c r="G22" i="1"/>
  <c r="K22" i="1"/>
  <c r="E21" i="1"/>
  <c r="F21" i="1"/>
  <c r="G21" i="1"/>
  <c r="K21" i="1"/>
  <c r="E23" i="1"/>
  <c r="F23" i="1"/>
  <c r="U23" i="1"/>
  <c r="E24" i="1"/>
  <c r="F24" i="1"/>
  <c r="G24" i="1"/>
  <c r="K24" i="1"/>
  <c r="D9" i="1"/>
  <c r="C9" i="1"/>
  <c r="Q22" i="1"/>
  <c r="Q24" i="1"/>
  <c r="Q23" i="1"/>
  <c r="Q21" i="1"/>
  <c r="F16" i="1"/>
  <c r="F17" i="1" s="1"/>
  <c r="C17" i="1"/>
  <c r="C12" i="1"/>
  <c r="C11" i="1"/>
  <c r="O25" i="1" l="1"/>
  <c r="O23" i="1"/>
  <c r="O22" i="1"/>
  <c r="O21" i="1"/>
  <c r="O24" i="1"/>
  <c r="C1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<sst xmlns="http://schemas.openxmlformats.org/spreadsheetml/2006/main" count="62" uniqueCount="57">
  <si>
    <t>Likely eccentric orbit</t>
  </si>
  <si>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</si>
  <si>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</si>
  <si>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</si>
  <si>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</si>
  <si>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</si>
  <si>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</si>
  <si>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</si>
  <si>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</si>
  <si>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</si>
  <si>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</si>
  <si>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</si>
  <si>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</si>
  <si>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</si>
  <si>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</si>
  <si>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</si>
  <si>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</si>
  <si>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</si>
  <si>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</si>
  <si>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</si>
  <si>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</si>
  <si>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</si>
  <si>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</si>
  <si>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</si>
  <si>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</si>
  <si>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</si>
  <si>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</si>
  <si>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</si>
  <si>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</si>
  <si>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</si>
  <si>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</si>
  <si>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</si>
  <si>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</si>
  <si>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</si>
  <si>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</si>
  <si>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</si>
  <si>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</si>
  <si>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</si>
  <si>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</si>
  <si>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</si>
  <si>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</si>
  <si>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Constell:</t>
  </si>
  <si>
    <t>V0645 Aur</t>
  </si>
  <si>
    <t>EA</t>
  </si>
  <si>
    <t>Aur</t>
  </si>
  <si>
    <t>IBVS 5681</t>
  </si>
  <si>
    <t>V0645 Aur / GSC 1890-1296</t>
  </si>
  <si>
    <t>Aur_V0645.xls</t>
  </si>
  <si>
    <t>OEJV 0160</t>
  </si>
  <si>
    <t>II</t>
  </si>
  <si>
    <t>vis</t>
  </si>
  <si>
    <t>IBVS 6202</t>
  </si>
  <si>
    <t>OEJV 0179</t>
  </si>
  <si>
    <t>IBVS 6084</t>
  </si>
  <si>
    <t>I</t>
  </si>
  <si>
    <t>BAD?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</si>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</sst>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5" fillId="0" borderId="0"/>
    <xf numFmtId="0" fontId="20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9" fillId="24" borderId="0" xfId="0" applyFont="1" applyFill="1" applyAlignment="1">
      <alignment vertical="center"/>
    </xf>
    <xf numFmtId="0" fontId="30" fillId="0" borderId="0" xfId="41" applyFont="1" applyAlignment="1">
      <alignment wrapText="1"/>
    </xf>
    <xf numFmtId="0" fontId="30" fillId="0" borderId="0" xfId="41" applyFont="1" applyAlignment="1">
      <alignment horizontal="center" wrapText="1"/>
    </xf>
    <xf numFmtId="0" fontId="30" fillId="0" borderId="0" xfId="41" applyFont="1" applyAlignment="1">
      <alignment horizontal="left" wrapText="1"/>
    </xf>
    <xf numFmtId="0" fontId="30" fillId="0" borderId="0" xfId="42" applyFont="1"/>
    <xf numFmtId="0" fontId="30" fillId="0" borderId="0" xfId="42" applyFont="1" applyAlignment="1">
      <alignment horizontal="center"/>
    </xf>
    <xf numFmtId="0" fontId="30" fillId="0" borderId="0" xfId="42" applyFont="1" applyAlignment="1">
      <alignment horizontal="left"/>
    </xf>
    <xf numFmtId="0" fontId="31" fillId="0" borderId="0" xfId="0" applyFont="1" applyAlignment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V0645 Aur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75939849624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-12</c:v>
                </c:pt>
                <c:pt idx="1">
                  <c:v>0</c:v>
                </c:pt>
                <c:pt idx="2">
                  <c:v>51</c:v>
                </c:pt>
                <c:pt idx="3">
                  <c:v>127.5</c:v>
                </c:pt>
                <c:pt idx="4">
                  <c:v>258.5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A0-4613-80F3-2CE7210BD3E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-12</c:v>
                </c:pt>
                <c:pt idx="1">
                  <c:v>0</c:v>
                </c:pt>
                <c:pt idx="2">
                  <c:v>51</c:v>
                </c:pt>
                <c:pt idx="3">
                  <c:v>127.5</c:v>
                </c:pt>
                <c:pt idx="4">
                  <c:v>258.5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A0-4613-80F3-2CE7210BD3E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-12</c:v>
                </c:pt>
                <c:pt idx="1">
                  <c:v>0</c:v>
                </c:pt>
                <c:pt idx="2">
                  <c:v>51</c:v>
                </c:pt>
                <c:pt idx="3">
                  <c:v>127.5</c:v>
                </c:pt>
                <c:pt idx="4">
                  <c:v>258.5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A0-4613-80F3-2CE7210BD3E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-12</c:v>
                </c:pt>
                <c:pt idx="1">
                  <c:v>0</c:v>
                </c:pt>
                <c:pt idx="2">
                  <c:v>51</c:v>
                </c:pt>
                <c:pt idx="3">
                  <c:v>127.5</c:v>
                </c:pt>
                <c:pt idx="4">
                  <c:v>258.5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0">
                  <c:v>0</c:v>
                </c:pt>
                <c:pt idx="1">
                  <c:v>0</c:v>
                </c:pt>
                <c:pt idx="3">
                  <c:v>0.50813374997233041</c:v>
                </c:pt>
                <c:pt idx="4">
                  <c:v>-0.52098875006777234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A0-4613-80F3-2CE7210BD3E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-12</c:v>
                </c:pt>
                <c:pt idx="1">
                  <c:v>0</c:v>
                </c:pt>
                <c:pt idx="2">
                  <c:v>51</c:v>
                </c:pt>
                <c:pt idx="3">
                  <c:v>127.5</c:v>
                </c:pt>
                <c:pt idx="4">
                  <c:v>258.5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A0-4613-80F3-2CE7210BD3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-12</c:v>
                </c:pt>
                <c:pt idx="1">
                  <c:v>0</c:v>
                </c:pt>
                <c:pt idx="2">
                  <c:v>51</c:v>
                </c:pt>
                <c:pt idx="3">
                  <c:v>127.5</c:v>
                </c:pt>
                <c:pt idx="4">
                  <c:v>258.5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A0-4613-80F3-2CE7210BD3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8.9999999999999998E-4</c:v>
                  </c:pt>
                  <c:pt idx="1">
                    <c:v>3.8E-3</c:v>
                  </c:pt>
                  <c:pt idx="2">
                    <c:v>2.0000000000000001E-4</c:v>
                  </c:pt>
                  <c:pt idx="3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-12</c:v>
                </c:pt>
                <c:pt idx="1">
                  <c:v>0</c:v>
                </c:pt>
                <c:pt idx="2">
                  <c:v>51</c:v>
                </c:pt>
                <c:pt idx="3">
                  <c:v>127.5</c:v>
                </c:pt>
                <c:pt idx="4">
                  <c:v>258.5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A0-4613-80F3-2CE7210BD3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-12</c:v>
                </c:pt>
                <c:pt idx="1">
                  <c:v>0</c:v>
                </c:pt>
                <c:pt idx="2">
                  <c:v>51</c:v>
                </c:pt>
                <c:pt idx="3">
                  <c:v>127.5</c:v>
                </c:pt>
                <c:pt idx="4">
                  <c:v>258.5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0.14696055662030003</c:v>
                </c:pt>
                <c:pt idx="1">
                  <c:v>0.12987911889774148</c:v>
                </c:pt>
                <c:pt idx="2">
                  <c:v>5.7283008576867689E-2</c:v>
                </c:pt>
                <c:pt idx="3">
                  <c:v>-5.1611156904443012E-2</c:v>
                </c:pt>
                <c:pt idx="4">
                  <c:v>-0.2380835187090404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A0-4613-80F3-2CE7210BD3E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-12</c:v>
                </c:pt>
                <c:pt idx="1">
                  <c:v>0</c:v>
                </c:pt>
                <c:pt idx="2">
                  <c:v>51</c:v>
                </c:pt>
                <c:pt idx="3">
                  <c:v>127.5</c:v>
                </c:pt>
                <c:pt idx="4">
                  <c:v>258.5</c:v>
                </c:pt>
              </c:numCache>
            </c:numRef>
          </c:xVal>
          <c:yVal>
            <c:numRef>
              <c:f>Active!$U$21:$U$996</c:f>
              <c:numCache>
                <c:formatCode>General</c:formatCode>
                <c:ptCount val="976"/>
                <c:pt idx="2">
                  <c:v>-1.1756325000096695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9A0-4613-80F3-2CE7210BD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759000"/>
        <c:axId val="1"/>
      </c:scatterChart>
      <c:valAx>
        <c:axId val="840759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759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2D17D9D-ECFC-71F6-110F-81F0DF19A1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7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46</v>
      </c>
      <c r="E1" t="s">
        <v>47</v>
      </c>
    </row>
    <row r="2" spans="1:6" x14ac:dyDescent="0.2">
      <c r="A2" t="s">
        <v>27</v>
      </c>
      <c r="B2" t="s">
        <v>43</v>
      </c>
      <c r="C2" s="30" t="s">
        <v>41</v>
      </c>
      <c r="D2" s="3" t="s">
        <v>44</v>
      </c>
      <c r="E2" s="31" t="s">
        <v>42</v>
      </c>
      <c r="F2" t="e">
        <v>#N/A</v>
      </c>
    </row>
    <row r="3" spans="1:6" ht="13.5" thickBot="1" x14ac:dyDescent="0.25"/>
    <row r="4" spans="1:6" ht="14.25" thickTop="1" thickBot="1" x14ac:dyDescent="0.25">
      <c r="A4" s="5" t="s">
        <v>4</v>
      </c>
      <c r="C4" s="27" t="s">
        <v>40</v>
      </c>
      <c r="D4" s="28" t="s">
        <v>40</v>
      </c>
    </row>
    <row r="5" spans="1:6" ht="13.5" thickTop="1" x14ac:dyDescent="0.2">
      <c r="A5" s="9" t="s">
        <v>32</v>
      </c>
      <c r="B5" s="10"/>
      <c r="C5" s="11">
        <v>-9.5</v>
      </c>
      <c r="D5" s="10" t="s">
        <v>33</v>
      </c>
    </row>
    <row r="6" spans="1:6" x14ac:dyDescent="0.2">
      <c r="A6" s="5" t="s">
        <v>5</v>
      </c>
      <c r="C6" s="38" t="s">
        <v>0</v>
      </c>
    </row>
    <row r="7" spans="1:6" x14ac:dyDescent="0.2">
      <c r="A7" t="s">
        <v>6</v>
      </c>
      <c r="C7" s="8">
        <v>56354.422299999998</v>
      </c>
      <c r="D7" s="29" t="s">
        <v>45</v>
      </c>
    </row>
    <row r="8" spans="1:6" x14ac:dyDescent="0.2">
      <c r="A8" t="s">
        <v>7</v>
      </c>
      <c r="C8" s="8">
        <v>11.084107500000222</v>
      </c>
      <c r="D8" s="29" t="s">
        <v>45</v>
      </c>
    </row>
    <row r="9" spans="1:6" x14ac:dyDescent="0.2">
      <c r="A9" s="24" t="s">
        <v>36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23</v>
      </c>
      <c r="D10" s="4" t="s">
        <v>24</v>
      </c>
      <c r="E10" s="10"/>
    </row>
    <row r="11" spans="1:6" x14ac:dyDescent="0.2">
      <c r="A11" s="10" t="s">
        <v>19</v>
      </c>
      <c r="B11" s="10"/>
      <c r="C11" s="21">
        <f ca="1">INTERCEPT(INDIRECT($D$9):G989,INDIRECT($C$9):F989)</f>
        <v>0.12987911889774148</v>
      </c>
      <c r="D11" s="3"/>
      <c r="E11" s="10"/>
    </row>
    <row r="12" spans="1:6" x14ac:dyDescent="0.2">
      <c r="A12" s="10" t="s">
        <v>20</v>
      </c>
      <c r="B12" s="10"/>
      <c r="C12" s="21">
        <f ca="1">SLOPE(INDIRECT($D$9):G989,INDIRECT($C$9):F989)</f>
        <v>-1.423453143546545E-3</v>
      </c>
      <c r="D12" s="3"/>
      <c r="E12" s="10"/>
    </row>
    <row r="13" spans="1:6" x14ac:dyDescent="0.2">
      <c r="A13" s="10" t="s">
        <v>22</v>
      </c>
      <c r="B13" s="10"/>
      <c r="C13" s="3" t="s">
        <v>17</v>
      </c>
    </row>
    <row r="14" spans="1:6" x14ac:dyDescent="0.2">
      <c r="A14" s="10"/>
      <c r="B14" s="10"/>
      <c r="C14" s="10"/>
    </row>
    <row r="15" spans="1:6" x14ac:dyDescent="0.2">
      <c r="A15" s="12" t="s">
        <v>21</v>
      </c>
      <c r="B15" s="10"/>
      <c r="C15" s="13">
        <f ca="1">(C7+C11)+(C8+C12)*INT(MAX(F21:F3530))</f>
        <v>59213.884663207915</v>
      </c>
      <c r="E15" s="14" t="s">
        <v>37</v>
      </c>
      <c r="F15" s="11">
        <v>1</v>
      </c>
    </row>
    <row r="16" spans="1:6" x14ac:dyDescent="0.2">
      <c r="A16" s="16" t="s">
        <v>8</v>
      </c>
      <c r="B16" s="10"/>
      <c r="C16" s="17">
        <f ca="1">+C8+C12</f>
        <v>11.082684046856675</v>
      </c>
      <c r="E16" s="14" t="s">
        <v>34</v>
      </c>
      <c r="F16" s="15">
        <f ca="1">NOW()+15018.5+$C$5/24</f>
        <v>59970.775611805555</v>
      </c>
    </row>
    <row r="17" spans="1:21" ht="13.5" thickBot="1" x14ac:dyDescent="0.25">
      <c r="A17" s="14" t="s">
        <v>31</v>
      </c>
      <c r="B17" s="10"/>
      <c r="C17" s="10">
        <f>COUNT(C21:C2188)</f>
        <v>5</v>
      </c>
      <c r="E17" s="14" t="s">
        <v>38</v>
      </c>
      <c r="F17" s="15">
        <f ca="1">ROUND(2*(F16-$C$7)/$C$8,0)/2+F15</f>
        <v>327.5</v>
      </c>
    </row>
    <row r="18" spans="1:21" ht="14.25" thickTop="1" thickBot="1" x14ac:dyDescent="0.25">
      <c r="A18" s="16" t="s">
        <v>9</v>
      </c>
      <c r="B18" s="10"/>
      <c r="C18" s="19">
        <f ca="1">+C15</f>
        <v>59213.884663207915</v>
      </c>
      <c r="D18" s="20">
        <f ca="1">+C16</f>
        <v>11.082684046856675</v>
      </c>
      <c r="E18" s="14" t="s">
        <v>39</v>
      </c>
      <c r="F18" s="23">
        <f ca="1">ROUND(2*(F16-$C$15)/$C$16,0)/2+F15</f>
        <v>69.5</v>
      </c>
    </row>
    <row r="19" spans="1:21" ht="13.5" thickTop="1" x14ac:dyDescent="0.2">
      <c r="E19" s="14" t="s">
        <v>35</v>
      </c>
      <c r="F19" s="18">
        <f ca="1">+$C$15+$C$16*F18-15018.5-$C$5/24</f>
        <v>44966.027037797787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50</v>
      </c>
      <c r="J20" s="7" t="s">
        <v>1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6" t="s">
        <v>55</v>
      </c>
    </row>
    <row r="21" spans="1:21" x14ac:dyDescent="0.2">
      <c r="A21" t="s">
        <v>48</v>
      </c>
      <c r="B21" t="s">
        <v>49</v>
      </c>
      <c r="C21" s="8">
        <v>56221.413009999997</v>
      </c>
      <c r="D21" s="8">
        <v>8.9999999999999998E-4</v>
      </c>
      <c r="E21">
        <f>+(C21-C$7)/C$8</f>
        <v>-11.99999999999992</v>
      </c>
      <c r="F21">
        <f>ROUND(2*E21,0)/2</f>
        <v>-12</v>
      </c>
      <c r="G21">
        <f>+C21-(C$7+F21*C$8)</f>
        <v>0</v>
      </c>
      <c r="K21">
        <f>+G21</f>
        <v>0</v>
      </c>
      <c r="O21">
        <f ca="1">+C$11+C$12*$F21</f>
        <v>0.14696055662030003</v>
      </c>
      <c r="Q21" s="2">
        <f>+C21-15018.5</f>
        <v>41202.913009999997</v>
      </c>
    </row>
    <row r="22" spans="1:21" x14ac:dyDescent="0.2">
      <c r="A22" s="39" t="s">
        <v>53</v>
      </c>
      <c r="B22" s="40" t="s">
        <v>54</v>
      </c>
      <c r="C22" s="39">
        <v>56354.422299999998</v>
      </c>
      <c r="D22" s="39">
        <v>3.8E-3</v>
      </c>
      <c r="E22">
        <f>+(C22-C$7)/C$8</f>
        <v>0</v>
      </c>
      <c r="F22">
        <f>ROUND(2*E22,0)/2</f>
        <v>0</v>
      </c>
      <c r="G22">
        <f>+C22-(C$7+F22*C$8)</f>
        <v>0</v>
      </c>
      <c r="K22">
        <f>+G22</f>
        <v>0</v>
      </c>
      <c r="O22">
        <f ca="1">+C$11+C$12*$F22</f>
        <v>0.12987911889774148</v>
      </c>
      <c r="Q22" s="2">
        <f>+C22-15018.5</f>
        <v>41335.922299999998</v>
      </c>
    </row>
    <row r="23" spans="1:21" x14ac:dyDescent="0.2">
      <c r="A23" s="35" t="s">
        <v>52</v>
      </c>
      <c r="B23" s="36" t="s">
        <v>49</v>
      </c>
      <c r="C23" s="37">
        <v>56918.53615</v>
      </c>
      <c r="D23" s="37">
        <v>2.0000000000000001E-4</v>
      </c>
      <c r="E23">
        <f>+(C23-C$7)/C$8</f>
        <v>50.893935303315153</v>
      </c>
      <c r="F23">
        <f>ROUND(2*E23,0)/2</f>
        <v>51</v>
      </c>
      <c r="O23">
        <f ca="1">+C$11+C$12*$F23</f>
        <v>5.7283008576867689E-2</v>
      </c>
      <c r="Q23" s="2">
        <f>+C23-15018.5</f>
        <v>41900.03615</v>
      </c>
      <c r="U23">
        <f>+C23-(C$7+F23*C$8)</f>
        <v>-1.1756325000096695</v>
      </c>
    </row>
    <row r="24" spans="1:21" x14ac:dyDescent="0.2">
      <c r="A24" s="32" t="s">
        <v>51</v>
      </c>
      <c r="B24" s="33" t="s">
        <v>49</v>
      </c>
      <c r="C24" s="34">
        <v>57768.154139999999</v>
      </c>
      <c r="D24" s="34">
        <v>8.0000000000000007E-5</v>
      </c>
      <c r="E24">
        <f>+(C24-C$7)/C$8</f>
        <v>127.54584345198494</v>
      </c>
      <c r="F24">
        <f>ROUND(2*E24,0)/2</f>
        <v>127.5</v>
      </c>
      <c r="G24">
        <f>+C24-(C$7+F24*C$8)</f>
        <v>0.50813374997233041</v>
      </c>
      <c r="K24">
        <f>+G24</f>
        <v>0.50813374997233041</v>
      </c>
      <c r="O24">
        <f ca="1">+C$11+C$12*$F24</f>
        <v>-5.1611156904443012E-2</v>
      </c>
      <c r="Q24" s="2">
        <f>+C24-15018.5</f>
        <v>42749.654139999999</v>
      </c>
    </row>
    <row r="25" spans="1:21" x14ac:dyDescent="0.2">
      <c r="A25" s="41" t="s">
        <v>56</v>
      </c>
      <c r="B25" s="42" t="s">
        <v>54</v>
      </c>
      <c r="C25" s="43">
        <v>59219.143099999987</v>
      </c>
      <c r="D25" s="41"/>
      <c r="E25">
        <f>+(C25-C$7)/C$8</f>
        <v>258.45299677939164</v>
      </c>
      <c r="F25">
        <f>ROUND(2*E25,0)/2</f>
        <v>258.5</v>
      </c>
      <c r="G25">
        <f>+C25-(C$7+F25*C$8)</f>
        <v>-0.52098875006777234</v>
      </c>
      <c r="K25">
        <f>+G25</f>
        <v>-0.52098875006777234</v>
      </c>
      <c r="O25">
        <f ca="1">+C$11+C$12*$F25</f>
        <v>-0.2380835187090404</v>
      </c>
      <c r="Q25" s="2">
        <f>+C25-15018.5</f>
        <v>44200.643099999987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</row>
    <row r="32" spans="1:21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</sheetData>
  <phoneticPr fontId="7" type="noConversion"/>
  <hyperlinks>
    <hyperlink ref="H3073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2023-01-26T05:36:52Z</dcterms:modified>
</cp:coreProperties>
</file>