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DD24938A-1FDC-43AB-B534-A44817F568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E29" i="1"/>
  <c r="F29" i="1"/>
  <c r="G29" i="1"/>
  <c r="K29" i="1"/>
  <c r="E28" i="1"/>
  <c r="F28" i="1"/>
  <c r="G28" i="1"/>
  <c r="K28" i="1"/>
  <c r="E27" i="1"/>
  <c r="F27" i="1"/>
  <c r="G27" i="1"/>
  <c r="K27" i="1"/>
  <c r="E23" i="1"/>
  <c r="F23" i="1"/>
  <c r="G23" i="1"/>
  <c r="J23" i="1"/>
  <c r="E24" i="1"/>
  <c r="F24" i="1"/>
  <c r="G24" i="1"/>
  <c r="K24" i="1"/>
  <c r="E25" i="1"/>
  <c r="F25" i="1"/>
  <c r="G25" i="1"/>
  <c r="J25" i="1"/>
  <c r="E26" i="1"/>
  <c r="F26" i="1"/>
  <c r="G26" i="1"/>
  <c r="K26" i="1"/>
  <c r="Q29" i="1"/>
  <c r="Q28" i="1"/>
  <c r="Q27" i="1"/>
  <c r="G14" i="2"/>
  <c r="C14" i="2"/>
  <c r="E14" i="2"/>
  <c r="G13" i="2"/>
  <c r="C13" i="2"/>
  <c r="E13" i="2"/>
  <c r="G12" i="2"/>
  <c r="C12" i="2"/>
  <c r="E12" i="2"/>
  <c r="G11" i="2"/>
  <c r="C11" i="2"/>
  <c r="E11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C9" i="1"/>
  <c r="D9" i="1"/>
  <c r="E21" i="1"/>
  <c r="F21" i="1"/>
  <c r="G21" i="1"/>
  <c r="I21" i="1"/>
  <c r="E22" i="1"/>
  <c r="F22" i="1"/>
  <c r="G22" i="1"/>
  <c r="I22" i="1"/>
  <c r="Q26" i="1"/>
  <c r="Q25" i="1"/>
  <c r="F16" i="1"/>
  <c r="F17" i="1" s="1"/>
  <c r="C17" i="1"/>
  <c r="Q21" i="1"/>
  <c r="Q22" i="1"/>
  <c r="Q23" i="1"/>
  <c r="Q24" i="1"/>
  <c r="C12" i="1"/>
  <c r="C11" i="1"/>
  <c r="O30" i="1" l="1"/>
  <c r="C16" i="1"/>
  <c r="D18" i="1" s="1"/>
  <c r="O26" i="1"/>
  <c r="O24" i="1"/>
  <c r="C15" i="1"/>
  <c r="O28" i="1"/>
  <c r="O29" i="1"/>
  <c r="O27" i="1"/>
  <c r="O21" i="1"/>
  <c r="O25" i="1"/>
  <c r="O23" i="1"/>
  <c r="O22" i="1"/>
  <c r="F18" i="1" l="1"/>
  <c r="F19" i="1" s="1"/>
  <c r="C18" i="1"/>
</calcChain>
</file>

<file path=xl/sharedStrings.xml><?xml version="1.0" encoding="utf-8"?>
<sst xmlns="http://schemas.openxmlformats.org/spreadsheetml/2006/main" count="111" uniqueCount="82">
  <si>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</si>
  <si>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</si>
  <si>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</si>
  <si>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</si>
  <si>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</si>
  <si>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</si>
  <si>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</si>
  <si>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</si>
  <si>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</si>
  <si>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</si>
  <si>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</si>
  <si>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</si>
  <si>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</si>
  <si>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</si>
  <si>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</si>
  <si>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</si>
  <si>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</si>
  <si>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</si>
  <si>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</si>
  <si>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</si>
  <si>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</si>
  <si>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</si>
  <si>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</si>
  <si>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</si>
  <si>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</si>
  <si>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</si>
  <si>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</si>
  <si>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</si>
  <si>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</si>
  <si>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</si>
  <si>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</si>
  <si>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</si>
  <si>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</si>
  <si>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</si>
  <si>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GL Boo / GSC 2018-0065</t>
  </si>
  <si>
    <t>IBVS 5874</t>
  </si>
  <si>
    <t>I</t>
  </si>
  <si>
    <t>IBVS 5894</t>
  </si>
  <si>
    <t>EA</t>
  </si>
  <si>
    <t>IBVS 5060</t>
  </si>
  <si>
    <t>II</t>
  </si>
  <si>
    <t>not avail.</t>
  </si>
  <si>
    <t>Add cycle</t>
  </si>
  <si>
    <t>Old Cycle</t>
  </si>
  <si>
    <t>IBVS 6010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</si>
  <si>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</si>
  <si>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</si>
  <si>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</si>
  <si>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</si>
  <si>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</si>
  <si>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</si>
  <si>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</si>
  <si>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</si>
  <si>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</si>
  <si>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</si>
  <si>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</si>
  <si>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</si>
  <si>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2454570.5040 </t>
  </si>
  <si>
    <t> 14.04.2008 00:05 </t>
  </si>
  <si>
    <t> -0.0035 </t>
  </si>
  <si>
    <t>C </t>
  </si>
  <si>
    <t>-I</t>
  </si>
  <si>
    <t> F.Agerer </t>
  </si>
  <si>
    <t>BAVM 201 </t>
  </si>
  <si>
    <t>2454963.841 </t>
  </si>
  <si>
    <t> 12.05.2009 08:11 </t>
  </si>
  <si>
    <t>770</t>
  </si>
  <si>
    <t> 0.042 </t>
  </si>
  <si>
    <t> R.Diethelm </t>
  </si>
  <si>
    <t>IBVS 5894 </t>
  </si>
  <si>
    <t>2455654.4365 </t>
  </si>
  <si>
    <t> 02.04.2011 22:28 </t>
  </si>
  <si>
    <t>986</t>
  </si>
  <si>
    <t> -0.0194 </t>
  </si>
  <si>
    <t>BAVM 220 </t>
  </si>
  <si>
    <t>2456034.9083 </t>
  </si>
  <si>
    <t> 17.04.2012 09:47 </t>
  </si>
  <si>
    <t>1105</t>
  </si>
  <si>
    <t> -0.0486 </t>
  </si>
  <si>
    <t>IBVS 6029 </t>
  </si>
  <si>
    <t>s7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</si>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</sst>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5" fillId="0" borderId="0" xfId="42" applyFont="1" applyAlignment="1">
      <alignment wrapText="1"/>
    </xf>
    <xf numFmtId="0" fontId="15" fillId="0" borderId="0" xfId="42" applyFont="1" applyAlignment="1">
      <alignment horizontal="center" wrapText="1"/>
    </xf>
    <xf numFmtId="0" fontId="15" fillId="0" borderId="0" xfId="42" applyFont="1" applyAlignment="1">
      <alignment horizontal="left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34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GL Boo - O-C Diagr.</a:t>
            </a:r>
          </a:p>
        </c:rich>
      </c:tx>
      <c:layout>
        <c:manualLayout>
          <c:xMode val="edge"/>
          <c:yMode val="edge"/>
          <c:x val="0.3936022253129346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1974965229486"/>
          <c:y val="0.14035127795846455"/>
          <c:w val="0.8400556328233658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Active!$D$21:$D$186</c:f>
                <c:numCache>
                  <c:formatCode>General</c:formatCode>
                  <c:ptCount val="166"/>
                  <c:pt idx="0">
                    <c:v>5.0000000000000001E-3</c:v>
                  </c:pt>
                  <c:pt idx="1">
                    <c:v>3.0000000000000001E-3</c:v>
                  </c:pt>
                  <c:pt idx="2">
                    <c:v>5.7000000000000002E-3</c:v>
                  </c:pt>
                  <c:pt idx="3">
                    <c:v>1.9E-3</c:v>
                  </c:pt>
                  <c:pt idx="4">
                    <c:v>2.2000000000000001E-3</c:v>
                  </c:pt>
                  <c:pt idx="5">
                    <c:v>1E-3</c:v>
                  </c:pt>
                  <c:pt idx="6">
                    <c:v>2.8299999999999999E-2</c:v>
                  </c:pt>
                  <c:pt idx="7">
                    <c:v>1.0999999999999999E-2</c:v>
                  </c:pt>
                  <c:pt idx="8">
                    <c:v>1.5E-3</c:v>
                  </c:pt>
                  <c:pt idx="9">
                    <c:v>1E-3</c:v>
                  </c:pt>
                </c:numCache>
              </c:numRef>
            </c:plus>
            <c:minus>
              <c:numRef>
                <c:f>Active!$D$21:$D$186</c:f>
                <c:numCache>
                  <c:formatCode>General</c:formatCode>
                  <c:ptCount val="166"/>
                  <c:pt idx="0">
                    <c:v>5.0000000000000001E-3</c:v>
                  </c:pt>
                  <c:pt idx="1">
                    <c:v>3.0000000000000001E-3</c:v>
                  </c:pt>
                  <c:pt idx="2">
                    <c:v>5.7000000000000002E-3</c:v>
                  </c:pt>
                  <c:pt idx="3">
                    <c:v>1.9E-3</c:v>
                  </c:pt>
                  <c:pt idx="4">
                    <c:v>2.2000000000000001E-3</c:v>
                  </c:pt>
                  <c:pt idx="5">
                    <c:v>1E-3</c:v>
                  </c:pt>
                  <c:pt idx="6">
                    <c:v>2.8299999999999999E-2</c:v>
                  </c:pt>
                  <c:pt idx="7">
                    <c:v>1.0999999999999999E-2</c:v>
                  </c:pt>
                  <c:pt idx="8">
                    <c:v>1.5E-3</c:v>
                  </c:pt>
                  <c:pt idx="9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Active!$F$21:$F$946</c:f>
              <c:numCache>
                <c:formatCode>General</c:formatCode>
                <c:ptCount val="926"/>
                <c:pt idx="0">
                  <c:v>-1029.5</c:v>
                </c:pt>
                <c:pt idx="1">
                  <c:v>-1027</c:v>
                </c:pt>
                <c:pt idx="2">
                  <c:v>0</c:v>
                </c:pt>
                <c:pt idx="3">
                  <c:v>123</c:v>
                </c:pt>
                <c:pt idx="4">
                  <c:v>339</c:v>
                </c:pt>
                <c:pt idx="5">
                  <c:v>458</c:v>
                </c:pt>
                <c:pt idx="6">
                  <c:v>800</c:v>
                </c:pt>
                <c:pt idx="7">
                  <c:v>802.5</c:v>
                </c:pt>
                <c:pt idx="8">
                  <c:v>922</c:v>
                </c:pt>
                <c:pt idx="9">
                  <c:v>1488.5</c:v>
                </c:pt>
              </c:numCache>
            </c:numRef>
          </c:xVal>
          <c:yVal>
            <c:numRef>
              <c:f>Active!$H$21:$H$946</c:f>
              <c:numCache>
                <c:formatCode>General</c:formatCode>
                <c:ptCount val="9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06-4D26-9B2C-AB00DB1C86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Active!$D$21:$D$946</c:f>
                <c:numCache>
                  <c:formatCode>General</c:formatCode>
                  <c:ptCount val="926"/>
                  <c:pt idx="0">
                    <c:v>5.0000000000000001E-3</c:v>
                  </c:pt>
                  <c:pt idx="1">
                    <c:v>3.0000000000000001E-3</c:v>
                  </c:pt>
                  <c:pt idx="2">
                    <c:v>5.7000000000000002E-3</c:v>
                  </c:pt>
                  <c:pt idx="3">
                    <c:v>1.9E-3</c:v>
                  </c:pt>
                  <c:pt idx="4">
                    <c:v>2.2000000000000001E-3</c:v>
                  </c:pt>
                  <c:pt idx="5">
                    <c:v>1E-3</c:v>
                  </c:pt>
                  <c:pt idx="6">
                    <c:v>2.8299999999999999E-2</c:v>
                  </c:pt>
                  <c:pt idx="7">
                    <c:v>1.0999999999999999E-2</c:v>
                  </c:pt>
                  <c:pt idx="8">
                    <c:v>1.5E-3</c:v>
                  </c:pt>
                  <c:pt idx="9">
                    <c:v>1E-3</c:v>
                  </c:pt>
                </c:numCache>
              </c:numRef>
            </c:plus>
            <c:minus>
              <c:numRef>
                <c:f>Active!$D$21:$D$946</c:f>
                <c:numCache>
                  <c:formatCode>General</c:formatCode>
                  <c:ptCount val="926"/>
                  <c:pt idx="0">
                    <c:v>5.0000000000000001E-3</c:v>
                  </c:pt>
                  <c:pt idx="1">
                    <c:v>3.0000000000000001E-3</c:v>
                  </c:pt>
                  <c:pt idx="2">
                    <c:v>5.7000000000000002E-3</c:v>
                  </c:pt>
                  <c:pt idx="3">
                    <c:v>1.9E-3</c:v>
                  </c:pt>
                  <c:pt idx="4">
                    <c:v>2.2000000000000001E-3</c:v>
                  </c:pt>
                  <c:pt idx="5">
                    <c:v>1E-3</c:v>
                  </c:pt>
                  <c:pt idx="6">
                    <c:v>2.8299999999999999E-2</c:v>
                  </c:pt>
                  <c:pt idx="7">
                    <c:v>1.0999999999999999E-2</c:v>
                  </c:pt>
                  <c:pt idx="8">
                    <c:v>1.5E-3</c:v>
                  </c:pt>
                  <c:pt idx="9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Active!$F$21:$F$946</c:f>
              <c:numCache>
                <c:formatCode>General</c:formatCode>
                <c:ptCount val="926"/>
                <c:pt idx="0">
                  <c:v>-1029.5</c:v>
                </c:pt>
                <c:pt idx="1">
                  <c:v>-1027</c:v>
                </c:pt>
                <c:pt idx="2">
                  <c:v>0</c:v>
                </c:pt>
                <c:pt idx="3">
                  <c:v>123</c:v>
                </c:pt>
                <c:pt idx="4">
                  <c:v>339</c:v>
                </c:pt>
                <c:pt idx="5">
                  <c:v>458</c:v>
                </c:pt>
                <c:pt idx="6">
                  <c:v>800</c:v>
                </c:pt>
                <c:pt idx="7">
                  <c:v>802.5</c:v>
                </c:pt>
                <c:pt idx="8">
                  <c:v>922</c:v>
                </c:pt>
                <c:pt idx="9">
                  <c:v>1488.5</c:v>
                </c:pt>
              </c:numCache>
            </c:numRef>
          </c:xVal>
          <c:yVal>
            <c:numRef>
              <c:f>Active!$I$21:$I$946</c:f>
              <c:numCache>
                <c:formatCode>General</c:formatCode>
                <c:ptCount val="926"/>
                <c:pt idx="0">
                  <c:v>0.53699999999662396</c:v>
                </c:pt>
                <c:pt idx="1">
                  <c:v>0.52299999999377178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06-4D26-9B2C-AB00DB1C86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Active!$D$21:$D$946</c:f>
                <c:numCache>
                  <c:formatCode>General</c:formatCode>
                  <c:ptCount val="926"/>
                  <c:pt idx="0">
                    <c:v>5.0000000000000001E-3</c:v>
                  </c:pt>
                  <c:pt idx="1">
                    <c:v>3.0000000000000001E-3</c:v>
                  </c:pt>
                  <c:pt idx="2">
                    <c:v>5.7000000000000002E-3</c:v>
                  </c:pt>
                  <c:pt idx="3">
                    <c:v>1.9E-3</c:v>
                  </c:pt>
                  <c:pt idx="4">
                    <c:v>2.2000000000000001E-3</c:v>
                  </c:pt>
                  <c:pt idx="5">
                    <c:v>1E-3</c:v>
                  </c:pt>
                  <c:pt idx="6">
                    <c:v>2.8299999999999999E-2</c:v>
                  </c:pt>
                  <c:pt idx="7">
                    <c:v>1.0999999999999999E-2</c:v>
                  </c:pt>
                  <c:pt idx="8">
                    <c:v>1.5E-3</c:v>
                  </c:pt>
                  <c:pt idx="9">
                    <c:v>1E-3</c:v>
                  </c:pt>
                </c:numCache>
              </c:numRef>
            </c:plus>
            <c:minus>
              <c:numRef>
                <c:f>Active!$D$21:$D$946</c:f>
                <c:numCache>
                  <c:formatCode>General</c:formatCode>
                  <c:ptCount val="926"/>
                  <c:pt idx="0">
                    <c:v>5.0000000000000001E-3</c:v>
                  </c:pt>
                  <c:pt idx="1">
                    <c:v>3.0000000000000001E-3</c:v>
                  </c:pt>
                  <c:pt idx="2">
                    <c:v>5.7000000000000002E-3</c:v>
                  </c:pt>
                  <c:pt idx="3">
                    <c:v>1.9E-3</c:v>
                  </c:pt>
                  <c:pt idx="4">
                    <c:v>2.2000000000000001E-3</c:v>
                  </c:pt>
                  <c:pt idx="5">
                    <c:v>1E-3</c:v>
                  </c:pt>
                  <c:pt idx="6">
                    <c:v>2.8299999999999999E-2</c:v>
                  </c:pt>
                  <c:pt idx="7">
                    <c:v>1.0999999999999999E-2</c:v>
                  </c:pt>
                  <c:pt idx="8">
                    <c:v>1.5E-3</c:v>
                  </c:pt>
                  <c:pt idx="9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Active!$F$21:$F$946</c:f>
              <c:numCache>
                <c:formatCode>General</c:formatCode>
                <c:ptCount val="926"/>
                <c:pt idx="0">
                  <c:v>-1029.5</c:v>
                </c:pt>
                <c:pt idx="1">
                  <c:v>-1027</c:v>
                </c:pt>
                <c:pt idx="2">
                  <c:v>0</c:v>
                </c:pt>
                <c:pt idx="3">
                  <c:v>123</c:v>
                </c:pt>
                <c:pt idx="4">
                  <c:v>339</c:v>
                </c:pt>
                <c:pt idx="5">
                  <c:v>458</c:v>
                </c:pt>
                <c:pt idx="6">
                  <c:v>800</c:v>
                </c:pt>
                <c:pt idx="7">
                  <c:v>802.5</c:v>
                </c:pt>
                <c:pt idx="8">
                  <c:v>922</c:v>
                </c:pt>
                <c:pt idx="9">
                  <c:v>1488.5</c:v>
                </c:pt>
              </c:numCache>
            </c:numRef>
          </c:xVal>
          <c:yVal>
            <c:numRef>
              <c:f>Active!$J$21:$J$946</c:f>
              <c:numCache>
                <c:formatCode>General</c:formatCode>
                <c:ptCount val="926"/>
                <c:pt idx="2">
                  <c:v>0</c:v>
                </c:pt>
                <c:pt idx="4">
                  <c:v>-0.18950000000040745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06-4D26-9B2C-AB00DB1C86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Active!$D$21:$D$946</c:f>
                <c:numCache>
                  <c:formatCode>General</c:formatCode>
                  <c:ptCount val="926"/>
                  <c:pt idx="0">
                    <c:v>5.0000000000000001E-3</c:v>
                  </c:pt>
                  <c:pt idx="1">
                    <c:v>3.0000000000000001E-3</c:v>
                  </c:pt>
                  <c:pt idx="2">
                    <c:v>5.7000000000000002E-3</c:v>
                  </c:pt>
                  <c:pt idx="3">
                    <c:v>1.9E-3</c:v>
                  </c:pt>
                  <c:pt idx="4">
                    <c:v>2.2000000000000001E-3</c:v>
                  </c:pt>
                  <c:pt idx="5">
                    <c:v>1E-3</c:v>
                  </c:pt>
                  <c:pt idx="6">
                    <c:v>2.8299999999999999E-2</c:v>
                  </c:pt>
                  <c:pt idx="7">
                    <c:v>1.0999999999999999E-2</c:v>
                  </c:pt>
                  <c:pt idx="8">
                    <c:v>1.5E-3</c:v>
                  </c:pt>
                  <c:pt idx="9">
                    <c:v>1E-3</c:v>
                  </c:pt>
                </c:numCache>
              </c:numRef>
            </c:plus>
            <c:minus>
              <c:numRef>
                <c:f>Active!$D$21:$D$946</c:f>
                <c:numCache>
                  <c:formatCode>General</c:formatCode>
                  <c:ptCount val="926"/>
                  <c:pt idx="0">
                    <c:v>5.0000000000000001E-3</c:v>
                  </c:pt>
                  <c:pt idx="1">
                    <c:v>3.0000000000000001E-3</c:v>
                  </c:pt>
                  <c:pt idx="2">
                    <c:v>5.7000000000000002E-3</c:v>
                  </c:pt>
                  <c:pt idx="3">
                    <c:v>1.9E-3</c:v>
                  </c:pt>
                  <c:pt idx="4">
                    <c:v>2.2000000000000001E-3</c:v>
                  </c:pt>
                  <c:pt idx="5">
                    <c:v>1E-3</c:v>
                  </c:pt>
                  <c:pt idx="6">
                    <c:v>2.8299999999999999E-2</c:v>
                  </c:pt>
                  <c:pt idx="7">
                    <c:v>1.0999999999999999E-2</c:v>
                  </c:pt>
                  <c:pt idx="8">
                    <c:v>1.5E-3</c:v>
                  </c:pt>
                  <c:pt idx="9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Active!$F$21:$F$946</c:f>
              <c:numCache>
                <c:formatCode>General</c:formatCode>
                <c:ptCount val="926"/>
                <c:pt idx="0">
                  <c:v>-1029.5</c:v>
                </c:pt>
                <c:pt idx="1">
                  <c:v>-1027</c:v>
                </c:pt>
                <c:pt idx="2">
                  <c:v>0</c:v>
                </c:pt>
                <c:pt idx="3">
                  <c:v>123</c:v>
                </c:pt>
                <c:pt idx="4">
                  <c:v>339</c:v>
                </c:pt>
                <c:pt idx="5">
                  <c:v>458</c:v>
                </c:pt>
                <c:pt idx="6">
                  <c:v>800</c:v>
                </c:pt>
                <c:pt idx="7">
                  <c:v>802.5</c:v>
                </c:pt>
                <c:pt idx="8">
                  <c:v>922</c:v>
                </c:pt>
                <c:pt idx="9">
                  <c:v>1488.5</c:v>
                </c:pt>
              </c:numCache>
            </c:numRef>
          </c:xVal>
          <c:yVal>
            <c:numRef>
              <c:f>Active!$K$21:$K$946</c:f>
              <c:numCache>
                <c:formatCode>General</c:formatCode>
                <c:ptCount val="926"/>
                <c:pt idx="3">
                  <c:v>-1.6999999999825377E-2</c:v>
                </c:pt>
                <c:pt idx="5">
                  <c:v>-0.27969999999913853</c:v>
                </c:pt>
                <c:pt idx="6">
                  <c:v>-0.44250000000465661</c:v>
                </c:pt>
                <c:pt idx="7">
                  <c:v>-0.47299999999813735</c:v>
                </c:pt>
                <c:pt idx="8">
                  <c:v>-0.52899999999499414</c:v>
                </c:pt>
                <c:pt idx="9">
                  <c:v>0.72050000000308501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06-4D26-9B2C-AB00DB1C86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Active!$D$21:$D$946</c:f>
                <c:numCache>
                  <c:formatCode>General</c:formatCode>
                  <c:ptCount val="926"/>
                  <c:pt idx="0">
                    <c:v>5.0000000000000001E-3</c:v>
                  </c:pt>
                  <c:pt idx="1">
                    <c:v>3.0000000000000001E-3</c:v>
                  </c:pt>
                  <c:pt idx="2">
                    <c:v>5.7000000000000002E-3</c:v>
                  </c:pt>
                  <c:pt idx="3">
                    <c:v>1.9E-3</c:v>
                  </c:pt>
                  <c:pt idx="4">
                    <c:v>2.2000000000000001E-3</c:v>
                  </c:pt>
                  <c:pt idx="5">
                    <c:v>1E-3</c:v>
                  </c:pt>
                  <c:pt idx="6">
                    <c:v>2.8299999999999999E-2</c:v>
                  </c:pt>
                  <c:pt idx="7">
                    <c:v>1.0999999999999999E-2</c:v>
                  </c:pt>
                  <c:pt idx="8">
                    <c:v>1.5E-3</c:v>
                  </c:pt>
                  <c:pt idx="9">
                    <c:v>1E-3</c:v>
                  </c:pt>
                </c:numCache>
              </c:numRef>
            </c:plus>
            <c:minus>
              <c:numRef>
                <c:f>Active!$D$21:$D$946</c:f>
                <c:numCache>
                  <c:formatCode>General</c:formatCode>
                  <c:ptCount val="926"/>
                  <c:pt idx="0">
                    <c:v>5.0000000000000001E-3</c:v>
                  </c:pt>
                  <c:pt idx="1">
                    <c:v>3.0000000000000001E-3</c:v>
                  </c:pt>
                  <c:pt idx="2">
                    <c:v>5.7000000000000002E-3</c:v>
                  </c:pt>
                  <c:pt idx="3">
                    <c:v>1.9E-3</c:v>
                  </c:pt>
                  <c:pt idx="4">
                    <c:v>2.2000000000000001E-3</c:v>
                  </c:pt>
                  <c:pt idx="5">
                    <c:v>1E-3</c:v>
                  </c:pt>
                  <c:pt idx="6">
                    <c:v>2.8299999999999999E-2</c:v>
                  </c:pt>
                  <c:pt idx="7">
                    <c:v>1.0999999999999999E-2</c:v>
                  </c:pt>
                  <c:pt idx="8">
                    <c:v>1.5E-3</c:v>
                  </c:pt>
                  <c:pt idx="9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Active!$F$21:$F$946</c:f>
              <c:numCache>
                <c:formatCode>General</c:formatCode>
                <c:ptCount val="926"/>
                <c:pt idx="0">
                  <c:v>-1029.5</c:v>
                </c:pt>
                <c:pt idx="1">
                  <c:v>-1027</c:v>
                </c:pt>
                <c:pt idx="2">
                  <c:v>0</c:v>
                </c:pt>
                <c:pt idx="3">
                  <c:v>123</c:v>
                </c:pt>
                <c:pt idx="4">
                  <c:v>339</c:v>
                </c:pt>
                <c:pt idx="5">
                  <c:v>458</c:v>
                </c:pt>
                <c:pt idx="6">
                  <c:v>800</c:v>
                </c:pt>
                <c:pt idx="7">
                  <c:v>802.5</c:v>
                </c:pt>
                <c:pt idx="8">
                  <c:v>922</c:v>
                </c:pt>
                <c:pt idx="9">
                  <c:v>1488.5</c:v>
                </c:pt>
              </c:numCache>
            </c:numRef>
          </c:xVal>
          <c:yVal>
            <c:numRef>
              <c:f>Active!$L$21:$L$946</c:f>
              <c:numCache>
                <c:formatCode>General</c:formatCode>
                <c:ptCount val="9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06-4D26-9B2C-AB00DB1C86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Active!$D$21:$D$946</c:f>
                <c:numCache>
                  <c:formatCode>General</c:formatCode>
                  <c:ptCount val="926"/>
                  <c:pt idx="0">
                    <c:v>5.0000000000000001E-3</c:v>
                  </c:pt>
                  <c:pt idx="1">
                    <c:v>3.0000000000000001E-3</c:v>
                  </c:pt>
                  <c:pt idx="2">
                    <c:v>5.7000000000000002E-3</c:v>
                  </c:pt>
                  <c:pt idx="3">
                    <c:v>1.9E-3</c:v>
                  </c:pt>
                  <c:pt idx="4">
                    <c:v>2.2000000000000001E-3</c:v>
                  </c:pt>
                  <c:pt idx="5">
                    <c:v>1E-3</c:v>
                  </c:pt>
                  <c:pt idx="6">
                    <c:v>2.8299999999999999E-2</c:v>
                  </c:pt>
                  <c:pt idx="7">
                    <c:v>1.0999999999999999E-2</c:v>
                  </c:pt>
                  <c:pt idx="8">
                    <c:v>1.5E-3</c:v>
                  </c:pt>
                  <c:pt idx="9">
                    <c:v>1E-3</c:v>
                  </c:pt>
                </c:numCache>
              </c:numRef>
            </c:plus>
            <c:minus>
              <c:numRef>
                <c:f>Active!$D$21:$D$946</c:f>
                <c:numCache>
                  <c:formatCode>General</c:formatCode>
                  <c:ptCount val="926"/>
                  <c:pt idx="0">
                    <c:v>5.0000000000000001E-3</c:v>
                  </c:pt>
                  <c:pt idx="1">
                    <c:v>3.0000000000000001E-3</c:v>
                  </c:pt>
                  <c:pt idx="2">
                    <c:v>5.7000000000000002E-3</c:v>
                  </c:pt>
                  <c:pt idx="3">
                    <c:v>1.9E-3</c:v>
                  </c:pt>
                  <c:pt idx="4">
                    <c:v>2.2000000000000001E-3</c:v>
                  </c:pt>
                  <c:pt idx="5">
                    <c:v>1E-3</c:v>
                  </c:pt>
                  <c:pt idx="6">
                    <c:v>2.8299999999999999E-2</c:v>
                  </c:pt>
                  <c:pt idx="7">
                    <c:v>1.0999999999999999E-2</c:v>
                  </c:pt>
                  <c:pt idx="8">
                    <c:v>1.5E-3</c:v>
                  </c:pt>
                  <c:pt idx="9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Active!$F$21:$F$946</c:f>
              <c:numCache>
                <c:formatCode>General</c:formatCode>
                <c:ptCount val="926"/>
                <c:pt idx="0">
                  <c:v>-1029.5</c:v>
                </c:pt>
                <c:pt idx="1">
                  <c:v>-1027</c:v>
                </c:pt>
                <c:pt idx="2">
                  <c:v>0</c:v>
                </c:pt>
                <c:pt idx="3">
                  <c:v>123</c:v>
                </c:pt>
                <c:pt idx="4">
                  <c:v>339</c:v>
                </c:pt>
                <c:pt idx="5">
                  <c:v>458</c:v>
                </c:pt>
                <c:pt idx="6">
                  <c:v>800</c:v>
                </c:pt>
                <c:pt idx="7">
                  <c:v>802.5</c:v>
                </c:pt>
                <c:pt idx="8">
                  <c:v>922</c:v>
                </c:pt>
                <c:pt idx="9">
                  <c:v>1488.5</c:v>
                </c:pt>
              </c:numCache>
            </c:numRef>
          </c:xVal>
          <c:yVal>
            <c:numRef>
              <c:f>Active!$M$21:$M$946</c:f>
              <c:numCache>
                <c:formatCode>General</c:formatCode>
                <c:ptCount val="9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06-4D26-9B2C-AB00DB1C86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Active!$D$21:$D$946</c:f>
                <c:numCache>
                  <c:formatCode>General</c:formatCode>
                  <c:ptCount val="926"/>
                  <c:pt idx="0">
                    <c:v>5.0000000000000001E-3</c:v>
                  </c:pt>
                  <c:pt idx="1">
                    <c:v>3.0000000000000001E-3</c:v>
                  </c:pt>
                  <c:pt idx="2">
                    <c:v>5.7000000000000002E-3</c:v>
                  </c:pt>
                  <c:pt idx="3">
                    <c:v>1.9E-3</c:v>
                  </c:pt>
                  <c:pt idx="4">
                    <c:v>2.2000000000000001E-3</c:v>
                  </c:pt>
                  <c:pt idx="5">
                    <c:v>1E-3</c:v>
                  </c:pt>
                  <c:pt idx="6">
                    <c:v>2.8299999999999999E-2</c:v>
                  </c:pt>
                  <c:pt idx="7">
                    <c:v>1.0999999999999999E-2</c:v>
                  </c:pt>
                  <c:pt idx="8">
                    <c:v>1.5E-3</c:v>
                  </c:pt>
                  <c:pt idx="9">
                    <c:v>1E-3</c:v>
                  </c:pt>
                </c:numCache>
              </c:numRef>
            </c:plus>
            <c:minus>
              <c:numRef>
                <c:f>Active!$D$21:$D$946</c:f>
                <c:numCache>
                  <c:formatCode>General</c:formatCode>
                  <c:ptCount val="926"/>
                  <c:pt idx="0">
                    <c:v>5.0000000000000001E-3</c:v>
                  </c:pt>
                  <c:pt idx="1">
                    <c:v>3.0000000000000001E-3</c:v>
                  </c:pt>
                  <c:pt idx="2">
                    <c:v>5.7000000000000002E-3</c:v>
                  </c:pt>
                  <c:pt idx="3">
                    <c:v>1.9E-3</c:v>
                  </c:pt>
                  <c:pt idx="4">
                    <c:v>2.2000000000000001E-3</c:v>
                  </c:pt>
                  <c:pt idx="5">
                    <c:v>1E-3</c:v>
                  </c:pt>
                  <c:pt idx="6">
                    <c:v>2.8299999999999999E-2</c:v>
                  </c:pt>
                  <c:pt idx="7">
                    <c:v>1.0999999999999999E-2</c:v>
                  </c:pt>
                  <c:pt idx="8">
                    <c:v>1.5E-3</c:v>
                  </c:pt>
                  <c:pt idx="9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Active!$F$21:$F$946</c:f>
              <c:numCache>
                <c:formatCode>General</c:formatCode>
                <c:ptCount val="926"/>
                <c:pt idx="0">
                  <c:v>-1029.5</c:v>
                </c:pt>
                <c:pt idx="1">
                  <c:v>-1027</c:v>
                </c:pt>
                <c:pt idx="2">
                  <c:v>0</c:v>
                </c:pt>
                <c:pt idx="3">
                  <c:v>123</c:v>
                </c:pt>
                <c:pt idx="4">
                  <c:v>339</c:v>
                </c:pt>
                <c:pt idx="5">
                  <c:v>458</c:v>
                </c:pt>
                <c:pt idx="6">
                  <c:v>800</c:v>
                </c:pt>
                <c:pt idx="7">
                  <c:v>802.5</c:v>
                </c:pt>
                <c:pt idx="8">
                  <c:v>922</c:v>
                </c:pt>
                <c:pt idx="9">
                  <c:v>1488.5</c:v>
                </c:pt>
              </c:numCache>
            </c:numRef>
          </c:xVal>
          <c:yVal>
            <c:numRef>
              <c:f>Active!$N$21:$N$946</c:f>
              <c:numCache>
                <c:formatCode>General</c:formatCode>
                <c:ptCount val="9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06-4D26-9B2C-AB00DB1C86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Active!$F$21:$F$946</c:f>
              <c:numCache>
                <c:formatCode>General</c:formatCode>
                <c:ptCount val="926"/>
                <c:pt idx="0">
                  <c:v>-1029.5</c:v>
                </c:pt>
                <c:pt idx="1">
                  <c:v>-1027</c:v>
                </c:pt>
                <c:pt idx="2">
                  <c:v>0</c:v>
                </c:pt>
                <c:pt idx="3">
                  <c:v>123</c:v>
                </c:pt>
                <c:pt idx="4">
                  <c:v>339</c:v>
                </c:pt>
                <c:pt idx="5">
                  <c:v>458</c:v>
                </c:pt>
                <c:pt idx="6">
                  <c:v>800</c:v>
                </c:pt>
                <c:pt idx="7">
                  <c:v>802.5</c:v>
                </c:pt>
                <c:pt idx="8">
                  <c:v>922</c:v>
                </c:pt>
                <c:pt idx="9">
                  <c:v>1488.5</c:v>
                </c:pt>
              </c:numCache>
            </c:numRef>
          </c:xVal>
          <c:yVal>
            <c:numRef>
              <c:f>Active!$O$21:$O$946</c:f>
              <c:numCache>
                <c:formatCode>General</c:formatCode>
                <c:ptCount val="926"/>
                <c:pt idx="0">
                  <c:v>0.29131932803477195</c:v>
                </c:pt>
                <c:pt idx="1">
                  <c:v>0.29073788452409527</c:v>
                </c:pt>
                <c:pt idx="2">
                  <c:v>5.188089033809621E-2</c:v>
                </c:pt>
                <c:pt idx="3">
                  <c:v>2.3273869612801291E-2</c:v>
                </c:pt>
                <c:pt idx="4">
                  <c:v>-2.6962849709667829E-2</c:v>
                </c:pt>
                <c:pt idx="5">
                  <c:v>-5.4639560817879983E-2</c:v>
                </c:pt>
                <c:pt idx="6">
                  <c:v>-0.13418103307845611</c:v>
                </c:pt>
                <c:pt idx="7">
                  <c:v>-0.13476247658913285</c:v>
                </c:pt>
                <c:pt idx="8">
                  <c:v>-0.16255547639948034</c:v>
                </c:pt>
                <c:pt idx="9">
                  <c:v>-0.29431057591882642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06-4D26-9B2C-AB00DB1C8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615232"/>
        <c:axId val="1"/>
      </c:scatterChart>
      <c:valAx>
        <c:axId val="513615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5577190542419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615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372739916550765"/>
          <c:y val="0.92397937099967764"/>
          <c:w val="0.5674547983310154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0</xdr:rowOff>
    </xdr:from>
    <xdr:to>
      <xdr:col>17</xdr:col>
      <xdr:colOff>581025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304ACE5-124B-DB46-68D2-C01C5E09DF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894" TargetMode="External"/><Relationship Id="rId2" Type="http://schemas.openxmlformats.org/officeDocument/2006/relationships/hyperlink" Target="http://www.bav-astro.de/sfs/BAVM_link.php?BAVMnr=201" TargetMode="External"/><Relationship Id="rId1" Type="http://schemas.openxmlformats.org/officeDocument/2006/relationships/hyperlink" Target="http://www.bav-astro.de/LkDB/index.php?lang=en&amp;sprache_dial=en" TargetMode="External"/><Relationship Id="rId5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887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34</v>
      </c>
    </row>
    <row r="2" spans="1:6" x14ac:dyDescent="0.2">
      <c r="A2" t="s">
        <v>24</v>
      </c>
      <c r="B2" t="s">
        <v>38</v>
      </c>
      <c r="C2" s="3"/>
      <c r="D2" s="3"/>
    </row>
    <row r="3" spans="1:6" ht="13.5" thickBot="1" x14ac:dyDescent="0.25"/>
    <row r="4" spans="1:6" ht="14.25" thickTop="1" thickBot="1" x14ac:dyDescent="0.25">
      <c r="A4" s="5" t="s">
        <v>1</v>
      </c>
      <c r="C4" s="8" t="s">
        <v>41</v>
      </c>
      <c r="D4" s="9" t="s">
        <v>41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6" x14ac:dyDescent="0.2">
      <c r="A6" s="5" t="s">
        <v>2</v>
      </c>
    </row>
    <row r="7" spans="1:6" x14ac:dyDescent="0.2">
      <c r="A7" t="s">
        <v>3</v>
      </c>
      <c r="C7">
        <v>54570.504000000001</v>
      </c>
    </row>
    <row r="8" spans="1:6" x14ac:dyDescent="0.2">
      <c r="A8" t="s">
        <v>4</v>
      </c>
      <c r="C8">
        <v>3.198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INTERCEPT(INDIRECT($D$9):G992,INDIRECT($C$9):F992)</f>
        <v>5.188089033809621E-2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SLOPE(INDIRECT($D$9):G992,INDIRECT($C$9):F992)</f>
        <v>-2.3257740427069039E-4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59328.833805712784</v>
      </c>
      <c r="E15" s="16" t="s">
        <v>42</v>
      </c>
      <c r="F15" s="13">
        <v>1</v>
      </c>
    </row>
    <row r="16" spans="1:6" x14ac:dyDescent="0.2">
      <c r="A16" s="18" t="s">
        <v>5</v>
      </c>
      <c r="B16" s="12"/>
      <c r="C16" s="19">
        <f ca="1">+C8+C12</f>
        <v>3.1977674225957293</v>
      </c>
      <c r="E16" s="16" t="s">
        <v>30</v>
      </c>
      <c r="F16" s="17">
        <f ca="1">NOW()+15018.5+$C$5/24</f>
        <v>59970.779403587963</v>
      </c>
    </row>
    <row r="17" spans="1:17" ht="13.5" thickBot="1" x14ac:dyDescent="0.25">
      <c r="A17" s="16" t="s">
        <v>27</v>
      </c>
      <c r="B17" s="12"/>
      <c r="C17" s="12">
        <f>COUNT(C21:C2191)</f>
        <v>10</v>
      </c>
      <c r="E17" s="16" t="s">
        <v>43</v>
      </c>
      <c r="F17" s="17">
        <f ca="1">ROUND(2*(F16-$C$7)/$C$8,0)/2+F15</f>
        <v>1689.5</v>
      </c>
    </row>
    <row r="18" spans="1:17" ht="14.25" thickTop="1" thickBot="1" x14ac:dyDescent="0.25">
      <c r="A18" s="18" t="s">
        <v>6</v>
      </c>
      <c r="B18" s="12"/>
      <c r="C18" s="21">
        <f ca="1">+C15</f>
        <v>59328.833805712784</v>
      </c>
      <c r="D18" s="22">
        <f ca="1">+C16</f>
        <v>3.1977674225957293</v>
      </c>
      <c r="E18" s="16" t="s">
        <v>31</v>
      </c>
      <c r="F18" s="25">
        <f ca="1">ROUND(2*(F16-$C$15)/$C$16,0)/2+F15</f>
        <v>201.5</v>
      </c>
    </row>
    <row r="19" spans="1:17" ht="13.5" thickTop="1" x14ac:dyDescent="0.2">
      <c r="E19" s="16" t="s">
        <v>32</v>
      </c>
      <c r="F19" s="20">
        <f ca="1">+$C$15+$C$16*F18-15018.5-$C$5/24</f>
        <v>44955.079774699159</v>
      </c>
    </row>
    <row r="20" spans="1:17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53</v>
      </c>
      <c r="I20" s="7" t="s">
        <v>56</v>
      </c>
      <c r="J20" s="7" t="s">
        <v>50</v>
      </c>
      <c r="K20" s="7" t="s">
        <v>48</v>
      </c>
      <c r="L20" s="7" t="s">
        <v>25</v>
      </c>
      <c r="M20" s="7" t="s">
        <v>26</v>
      </c>
      <c r="N20" s="7" t="s">
        <v>80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39</v>
      </c>
      <c r="B21" s="3" t="s">
        <v>40</v>
      </c>
      <c r="C21" s="10">
        <v>51278.7</v>
      </c>
      <c r="D21" s="10">
        <v>5.0000000000000001E-3</v>
      </c>
      <c r="E21">
        <f t="shared" ref="E21:E29" si="0">+(C21-C$7)/C$8</f>
        <v>-1029.3320825515959</v>
      </c>
      <c r="F21">
        <f t="shared" ref="F21:F29" si="1">ROUND(2*E21,0)/2</f>
        <v>-1029.5</v>
      </c>
      <c r="G21">
        <f t="shared" ref="G21:G29" si="2">+C21-(C$7+F21*C$8)</f>
        <v>0.53699999999662396</v>
      </c>
      <c r="I21">
        <f>+G21</f>
        <v>0.53699999999662396</v>
      </c>
      <c r="O21">
        <f t="shared" ref="O21:O29" ca="1" si="3">+C$11+C$12*$F21</f>
        <v>0.29131932803477195</v>
      </c>
      <c r="Q21" s="2">
        <f t="shared" ref="Q21:Q29" si="4">+C21-15018.5</f>
        <v>36260.199999999997</v>
      </c>
    </row>
    <row r="22" spans="1:17" x14ac:dyDescent="0.2">
      <c r="A22" s="29" t="s">
        <v>39</v>
      </c>
      <c r="B22" s="30" t="s">
        <v>36</v>
      </c>
      <c r="C22" s="31">
        <v>51286.680999999997</v>
      </c>
      <c r="D22" s="31">
        <v>3.0000000000000001E-3</v>
      </c>
      <c r="E22">
        <f t="shared" si="0"/>
        <v>-1026.8364602876811</v>
      </c>
      <c r="F22">
        <f t="shared" si="1"/>
        <v>-1027</v>
      </c>
      <c r="G22">
        <f t="shared" si="2"/>
        <v>0.52299999999377178</v>
      </c>
      <c r="I22">
        <f>+G22</f>
        <v>0.52299999999377178</v>
      </c>
      <c r="O22">
        <f t="shared" ca="1" si="3"/>
        <v>0.29073788452409527</v>
      </c>
      <c r="Q22" s="2">
        <f t="shared" si="4"/>
        <v>36268.180999999997</v>
      </c>
    </row>
    <row r="23" spans="1:17" x14ac:dyDescent="0.2">
      <c r="A23" s="31" t="s">
        <v>35</v>
      </c>
      <c r="B23" s="30" t="s">
        <v>36</v>
      </c>
      <c r="C23" s="31">
        <v>54570.504000000001</v>
      </c>
      <c r="D23" s="31">
        <v>5.7000000000000002E-3</v>
      </c>
      <c r="E23">
        <f t="shared" si="0"/>
        <v>0</v>
      </c>
      <c r="F23">
        <f t="shared" si="1"/>
        <v>0</v>
      </c>
      <c r="G23">
        <f t="shared" si="2"/>
        <v>0</v>
      </c>
      <c r="J23">
        <f>+G23</f>
        <v>0</v>
      </c>
      <c r="O23">
        <f t="shared" ca="1" si="3"/>
        <v>5.188089033809621E-2</v>
      </c>
      <c r="Q23" s="2">
        <f t="shared" si="4"/>
        <v>39552.004000000001</v>
      </c>
    </row>
    <row r="24" spans="1:17" x14ac:dyDescent="0.2">
      <c r="A24" s="31" t="s">
        <v>37</v>
      </c>
      <c r="B24" s="30" t="s">
        <v>36</v>
      </c>
      <c r="C24" s="31">
        <v>54963.841</v>
      </c>
      <c r="D24" s="31">
        <v>1.9E-3</v>
      </c>
      <c r="E24">
        <f t="shared" si="0"/>
        <v>122.99468417761086</v>
      </c>
      <c r="F24">
        <f t="shared" si="1"/>
        <v>123</v>
      </c>
      <c r="G24">
        <f t="shared" si="2"/>
        <v>-1.6999999999825377E-2</v>
      </c>
      <c r="K24">
        <f>+G24</f>
        <v>-1.6999999999825377E-2</v>
      </c>
      <c r="O24">
        <f t="shared" ca="1" si="3"/>
        <v>2.3273869612801291E-2</v>
      </c>
      <c r="Q24" s="2">
        <f t="shared" si="4"/>
        <v>39945.341</v>
      </c>
    </row>
    <row r="25" spans="1:17" x14ac:dyDescent="0.2">
      <c r="A25" s="32" t="s">
        <v>44</v>
      </c>
      <c r="B25" s="33" t="s">
        <v>36</v>
      </c>
      <c r="C25" s="32">
        <v>55654.436500000003</v>
      </c>
      <c r="D25" s="32">
        <v>2.2000000000000001E-3</v>
      </c>
      <c r="E25">
        <f t="shared" si="0"/>
        <v>338.94074421513528</v>
      </c>
      <c r="F25">
        <f t="shared" si="1"/>
        <v>339</v>
      </c>
      <c r="G25">
        <f t="shared" si="2"/>
        <v>-0.18950000000040745</v>
      </c>
      <c r="J25">
        <f>+G25</f>
        <v>-0.18950000000040745</v>
      </c>
      <c r="O25">
        <f t="shared" ca="1" si="3"/>
        <v>-2.6962849709667829E-2</v>
      </c>
      <c r="Q25" s="2">
        <f t="shared" si="4"/>
        <v>40635.936500000003</v>
      </c>
    </row>
    <row r="26" spans="1:17" x14ac:dyDescent="0.2">
      <c r="A26" s="28" t="s">
        <v>45</v>
      </c>
      <c r="B26" s="34" t="s">
        <v>36</v>
      </c>
      <c r="C26" s="28">
        <v>56034.908300000003</v>
      </c>
      <c r="D26" s="28">
        <v>1E-3</v>
      </c>
      <c r="E26">
        <f t="shared" si="0"/>
        <v>457.91253908692994</v>
      </c>
      <c r="F26">
        <f t="shared" si="1"/>
        <v>458</v>
      </c>
      <c r="G26">
        <f t="shared" si="2"/>
        <v>-0.27969999999913853</v>
      </c>
      <c r="K26">
        <f>+G26</f>
        <v>-0.27969999999913853</v>
      </c>
      <c r="O26">
        <f t="shared" ca="1" si="3"/>
        <v>-5.4639560817879983E-2</v>
      </c>
      <c r="Q26" s="2">
        <f t="shared" si="4"/>
        <v>41016.408300000003</v>
      </c>
    </row>
    <row r="27" spans="1:17" x14ac:dyDescent="0.2">
      <c r="A27" s="48" t="s">
        <v>0</v>
      </c>
      <c r="B27" s="49" t="s">
        <v>36</v>
      </c>
      <c r="C27" s="50">
        <v>57128.461499999998</v>
      </c>
      <c r="D27" s="50">
        <v>2.8299999999999999E-2</v>
      </c>
      <c r="E27">
        <f t="shared" si="0"/>
        <v>799.86163227016789</v>
      </c>
      <c r="F27">
        <f t="shared" si="1"/>
        <v>800</v>
      </c>
      <c r="G27">
        <f t="shared" si="2"/>
        <v>-0.44250000000465661</v>
      </c>
      <c r="K27">
        <f>+G27</f>
        <v>-0.44250000000465661</v>
      </c>
      <c r="O27">
        <f t="shared" ca="1" si="3"/>
        <v>-0.13418103307845611</v>
      </c>
      <c r="Q27" s="2">
        <f t="shared" si="4"/>
        <v>42109.961499999998</v>
      </c>
    </row>
    <row r="28" spans="1:17" x14ac:dyDescent="0.2">
      <c r="A28" s="48" t="s">
        <v>0</v>
      </c>
      <c r="B28" s="49" t="s">
        <v>36</v>
      </c>
      <c r="C28" s="50">
        <v>57136.425999999999</v>
      </c>
      <c r="D28" s="50">
        <v>1.0999999999999999E-2</v>
      </c>
      <c r="E28">
        <f t="shared" si="0"/>
        <v>802.35209505941168</v>
      </c>
      <c r="F28">
        <f t="shared" si="1"/>
        <v>802.5</v>
      </c>
      <c r="G28">
        <f t="shared" si="2"/>
        <v>-0.47299999999813735</v>
      </c>
      <c r="K28">
        <f>+G28</f>
        <v>-0.47299999999813735</v>
      </c>
      <c r="O28">
        <f t="shared" ca="1" si="3"/>
        <v>-0.13476247658913285</v>
      </c>
      <c r="Q28" s="2">
        <f t="shared" si="4"/>
        <v>42117.925999999999</v>
      </c>
    </row>
    <row r="29" spans="1:17" x14ac:dyDescent="0.2">
      <c r="A29" s="48" t="s">
        <v>0</v>
      </c>
      <c r="B29" s="49" t="s">
        <v>36</v>
      </c>
      <c r="C29" s="50">
        <v>57518.531000000003</v>
      </c>
      <c r="D29" s="50">
        <v>1.5E-3</v>
      </c>
      <c r="E29">
        <f t="shared" si="0"/>
        <v>921.83458411507252</v>
      </c>
      <c r="F29">
        <f t="shared" si="1"/>
        <v>922</v>
      </c>
      <c r="G29">
        <f t="shared" si="2"/>
        <v>-0.52899999999499414</v>
      </c>
      <c r="K29">
        <f>+G29</f>
        <v>-0.52899999999499414</v>
      </c>
      <c r="O29">
        <f t="shared" ca="1" si="3"/>
        <v>-0.16255547639948034</v>
      </c>
      <c r="Q29" s="2">
        <f t="shared" si="4"/>
        <v>42500.031000000003</v>
      </c>
    </row>
    <row r="30" spans="1:17" x14ac:dyDescent="0.2">
      <c r="A30" s="51" t="s">
        <v>81</v>
      </c>
      <c r="B30" s="52" t="s">
        <v>36</v>
      </c>
      <c r="C30" s="53">
        <v>59331.447500000002</v>
      </c>
      <c r="D30" s="51">
        <v>1E-3</v>
      </c>
      <c r="E30">
        <f t="shared" ref="E30" si="5">+(C30-C$7)/C$8</f>
        <v>1488.7252970606633</v>
      </c>
      <c r="F30">
        <f t="shared" ref="F30" si="6">ROUND(2*E30,0)/2</f>
        <v>1488.5</v>
      </c>
      <c r="G30">
        <f t="shared" ref="G30" si="7">+C30-(C$7+F30*C$8)</f>
        <v>0.72050000000308501</v>
      </c>
      <c r="K30">
        <f>+G30</f>
        <v>0.72050000000308501</v>
      </c>
      <c r="O30">
        <f t="shared" ref="O30" ca="1" si="8">+C$11+C$12*$F30</f>
        <v>-0.29431057591882642</v>
      </c>
      <c r="Q30" s="2">
        <f t="shared" ref="Q30" si="9">+C30-15018.5</f>
        <v>44312.947500000002</v>
      </c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</sheetData>
  <phoneticPr fontId="8" type="noConversion"/>
  <hyperlinks>
    <hyperlink ref="H2961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6"/>
  <sheetViews>
    <sheetView workbookViewId="0">
      <selection activeCell="A11" sqref="A11:IV448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5" t="s">
        <v>46</v>
      </c>
      <c r="I1" s="36" t="s">
        <v>47</v>
      </c>
      <c r="J1" s="37" t="s">
        <v>48</v>
      </c>
    </row>
    <row r="2" spans="1:16" x14ac:dyDescent="0.2">
      <c r="I2" s="38" t="s">
        <v>49</v>
      </c>
      <c r="J2" s="39" t="s">
        <v>50</v>
      </c>
    </row>
    <row r="3" spans="1:16" x14ac:dyDescent="0.2">
      <c r="A3" s="40" t="s">
        <v>51</v>
      </c>
      <c r="I3" s="38" t="s">
        <v>52</v>
      </c>
      <c r="J3" s="39" t="s">
        <v>53</v>
      </c>
    </row>
    <row r="4" spans="1:16" x14ac:dyDescent="0.2">
      <c r="I4" s="38" t="s">
        <v>54</v>
      </c>
      <c r="J4" s="39" t="s">
        <v>53</v>
      </c>
    </row>
    <row r="5" spans="1:16" ht="13.5" thickBot="1" x14ac:dyDescent="0.25">
      <c r="I5" s="41" t="s">
        <v>55</v>
      </c>
      <c r="J5" s="42" t="s">
        <v>56</v>
      </c>
    </row>
    <row r="10" spans="1:16" ht="13.5" thickBot="1" x14ac:dyDescent="0.25"/>
    <row r="11" spans="1:16" ht="12.75" customHeight="1" thickBot="1" x14ac:dyDescent="0.25">
      <c r="A11" s="10" t="str">
        <f>P11</f>
        <v>BAVM 201 </v>
      </c>
      <c r="B11" s="3" t="str">
        <f>IF(H11=INT(H11),"I","II")</f>
        <v>I</v>
      </c>
      <c r="C11" s="10">
        <f>1*G11</f>
        <v>54570.504000000001</v>
      </c>
      <c r="D11" s="12" t="str">
        <f>VLOOKUP(F11,I$1:J$5,2,FALSE)</f>
        <v>vis</v>
      </c>
      <c r="E11" s="43">
        <f>VLOOKUP(C11,Active!C$21:E$973,3,FALSE)</f>
        <v>0</v>
      </c>
      <c r="F11" s="3" t="s">
        <v>55</v>
      </c>
      <c r="G11" s="12" t="str">
        <f>MID(I11,3,LEN(I11)-3)</f>
        <v>54570.5040</v>
      </c>
      <c r="H11" s="10">
        <f>1*K11</f>
        <v>647</v>
      </c>
      <c r="I11" s="44" t="s">
        <v>57</v>
      </c>
      <c r="J11" s="45" t="s">
        <v>58</v>
      </c>
      <c r="K11" s="44">
        <v>647</v>
      </c>
      <c r="L11" s="44" t="s">
        <v>59</v>
      </c>
      <c r="M11" s="45" t="s">
        <v>60</v>
      </c>
      <c r="N11" s="45" t="s">
        <v>61</v>
      </c>
      <c r="O11" s="46" t="s">
        <v>62</v>
      </c>
      <c r="P11" s="47" t="s">
        <v>63</v>
      </c>
    </row>
    <row r="12" spans="1:16" ht="12.75" customHeight="1" thickBot="1" x14ac:dyDescent="0.25">
      <c r="A12" s="10" t="str">
        <f>P12</f>
        <v>IBVS 5894 </v>
      </c>
      <c r="B12" s="3" t="str">
        <f>IF(H12=INT(H12),"I","II")</f>
        <v>I</v>
      </c>
      <c r="C12" s="10">
        <f>1*G12</f>
        <v>54963.841</v>
      </c>
      <c r="D12" s="12" t="str">
        <f>VLOOKUP(F12,I$1:J$5,2,FALSE)</f>
        <v>vis</v>
      </c>
      <c r="E12" s="43">
        <f>VLOOKUP(C12,Active!C$21:E$973,3,FALSE)</f>
        <v>122.99468417761086</v>
      </c>
      <c r="F12" s="3" t="s">
        <v>55</v>
      </c>
      <c r="G12" s="12" t="str">
        <f>MID(I12,3,LEN(I12)-3)</f>
        <v>54963.841</v>
      </c>
      <c r="H12" s="10">
        <f>1*K12</f>
        <v>770</v>
      </c>
      <c r="I12" s="44" t="s">
        <v>64</v>
      </c>
      <c r="J12" s="45" t="s">
        <v>65</v>
      </c>
      <c r="K12" s="44" t="s">
        <v>66</v>
      </c>
      <c r="L12" s="44" t="s">
        <v>67</v>
      </c>
      <c r="M12" s="45" t="s">
        <v>60</v>
      </c>
      <c r="N12" s="45" t="s">
        <v>55</v>
      </c>
      <c r="O12" s="46" t="s">
        <v>68</v>
      </c>
      <c r="P12" s="47" t="s">
        <v>69</v>
      </c>
    </row>
    <row r="13" spans="1:16" ht="12.75" customHeight="1" thickBot="1" x14ac:dyDescent="0.25">
      <c r="A13" s="10" t="str">
        <f>P13</f>
        <v>BAVM 220 </v>
      </c>
      <c r="B13" s="3" t="str">
        <f>IF(H13=INT(H13),"I","II")</f>
        <v>I</v>
      </c>
      <c r="C13" s="10">
        <f>1*G13</f>
        <v>55654.436500000003</v>
      </c>
      <c r="D13" s="12" t="str">
        <f>VLOOKUP(F13,I$1:J$5,2,FALSE)</f>
        <v>vis</v>
      </c>
      <c r="E13" s="43">
        <f>VLOOKUP(C13,Active!C$21:E$973,3,FALSE)</f>
        <v>338.94074421513528</v>
      </c>
      <c r="F13" s="3" t="s">
        <v>55</v>
      </c>
      <c r="G13" s="12" t="str">
        <f>MID(I13,3,LEN(I13)-3)</f>
        <v>55654.4365</v>
      </c>
      <c r="H13" s="10">
        <f>1*K13</f>
        <v>986</v>
      </c>
      <c r="I13" s="44" t="s">
        <v>70</v>
      </c>
      <c r="J13" s="45" t="s">
        <v>71</v>
      </c>
      <c r="K13" s="44" t="s">
        <v>72</v>
      </c>
      <c r="L13" s="44" t="s">
        <v>73</v>
      </c>
      <c r="M13" s="45" t="s">
        <v>60</v>
      </c>
      <c r="N13" s="45" t="s">
        <v>61</v>
      </c>
      <c r="O13" s="46" t="s">
        <v>62</v>
      </c>
      <c r="P13" s="47" t="s">
        <v>74</v>
      </c>
    </row>
    <row r="14" spans="1:16" ht="12.75" customHeight="1" thickBot="1" x14ac:dyDescent="0.25">
      <c r="A14" s="10" t="str">
        <f>P14</f>
        <v>IBVS 6029 </v>
      </c>
      <c r="B14" s="3" t="str">
        <f>IF(H14=INT(H14),"I","II")</f>
        <v>I</v>
      </c>
      <c r="C14" s="10">
        <f>1*G14</f>
        <v>56034.908300000003</v>
      </c>
      <c r="D14" s="12" t="str">
        <f>VLOOKUP(F14,I$1:J$5,2,FALSE)</f>
        <v>vis</v>
      </c>
      <c r="E14" s="43">
        <f>VLOOKUP(C14,Active!C$21:E$973,3,FALSE)</f>
        <v>457.91253908692994</v>
      </c>
      <c r="F14" s="3" t="s">
        <v>55</v>
      </c>
      <c r="G14" s="12" t="str">
        <f>MID(I14,3,LEN(I14)-3)</f>
        <v>56034.9083</v>
      </c>
      <c r="H14" s="10">
        <f>1*K14</f>
        <v>1105</v>
      </c>
      <c r="I14" s="44" t="s">
        <v>75</v>
      </c>
      <c r="J14" s="45" t="s">
        <v>76</v>
      </c>
      <c r="K14" s="44" t="s">
        <v>77</v>
      </c>
      <c r="L14" s="44" t="s">
        <v>78</v>
      </c>
      <c r="M14" s="45" t="s">
        <v>60</v>
      </c>
      <c r="N14" s="45" t="s">
        <v>55</v>
      </c>
      <c r="O14" s="46" t="s">
        <v>68</v>
      </c>
      <c r="P14" s="47" t="s">
        <v>79</v>
      </c>
    </row>
    <row r="15" spans="1:16" x14ac:dyDescent="0.2">
      <c r="B15" s="3"/>
      <c r="F15" s="3"/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</sheetData>
  <phoneticPr fontId="8" type="noConversion"/>
  <hyperlinks>
    <hyperlink ref="A3" r:id="rId1" xr:uid="{00000000-0004-0000-0100-000000000000}"/>
    <hyperlink ref="P11" r:id="rId2" display="http://www.bav-astro.de/sfs/BAVM_link.php?BAVMnr=201" xr:uid="{00000000-0004-0000-0100-000001000000}"/>
    <hyperlink ref="P12" r:id="rId3" display="http://www.konkoly.hu/cgi-bin/IBVS?5894" xr:uid="{00000000-0004-0000-0100-000002000000}"/>
    <hyperlink ref="P13" r:id="rId4" display="http://www.bav-astro.de/sfs/BAVM_link.php?BAVMnr=220" xr:uid="{00000000-0004-0000-0100-000003000000}"/>
    <hyperlink ref="P14" r:id="rId5" display="http://www.konkoly.hu/cgi-bin/IBVS?6029" xr:uid="{00000000-0004-0000-0100-00000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2023-01-26T05:42:20Z</dcterms:modified>
</cp:coreProperties>
</file>