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EACFBF3C-EF0C-4C91-9174-455A006C7577}" xr6:coauthVersionLast="47" xr6:coauthVersionMax="47" xr10:uidLastSave="{00000000-0000-0000-0000-000000000000}"/>
  <bookViews>
    <workbookView xWindow="13845" yWindow="1695" windowWidth="12975" windowHeight="15060"/>
  </bookViews>
  <sheets>
    <sheet name="Active" sheetId="2" r:id="rId1"/>
    <sheet name="A (old)" sheetId="1" r:id="rId2"/>
    <sheet name="BAV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4" i="2" l="1"/>
  <c r="F64" i="2" s="1"/>
  <c r="G64" i="2" s="1"/>
  <c r="K64" i="2" s="1"/>
  <c r="Q64" i="2"/>
  <c r="E62" i="2"/>
  <c r="F62" i="2"/>
  <c r="G62" i="2"/>
  <c r="K62" i="2"/>
  <c r="E56" i="2"/>
  <c r="F56" i="2"/>
  <c r="G56" i="2"/>
  <c r="K56" i="2"/>
  <c r="E57" i="2"/>
  <c r="F57" i="2"/>
  <c r="G57" i="2"/>
  <c r="K57" i="2"/>
  <c r="E58" i="2"/>
  <c r="F58" i="2"/>
  <c r="G58" i="2"/>
  <c r="K58" i="2"/>
  <c r="E59" i="2"/>
  <c r="F59" i="2"/>
  <c r="G59" i="2"/>
  <c r="K59" i="2"/>
  <c r="E60" i="2"/>
  <c r="F60" i="2"/>
  <c r="G60" i="2"/>
  <c r="K60" i="2"/>
  <c r="E61" i="2"/>
  <c r="F61" i="2"/>
  <c r="G61" i="2"/>
  <c r="K61" i="2"/>
  <c r="E63" i="2"/>
  <c r="F63" i="2"/>
  <c r="G63" i="2"/>
  <c r="K63" i="2"/>
  <c r="Q62" i="2"/>
  <c r="F11" i="2"/>
  <c r="Q63" i="2"/>
  <c r="E41" i="2"/>
  <c r="F41" i="2"/>
  <c r="G41" i="2"/>
  <c r="K41" i="2"/>
  <c r="E42" i="2"/>
  <c r="F42" i="2"/>
  <c r="G42" i="2"/>
  <c r="K42" i="2"/>
  <c r="E44" i="2"/>
  <c r="F44" i="2"/>
  <c r="G44" i="2"/>
  <c r="E45" i="2"/>
  <c r="F45" i="2"/>
  <c r="G45" i="2"/>
  <c r="K45" i="2"/>
  <c r="E46" i="2"/>
  <c r="F46" i="2"/>
  <c r="G46" i="2"/>
  <c r="J46" i="2"/>
  <c r="E47" i="2"/>
  <c r="F47" i="2"/>
  <c r="G47" i="2"/>
  <c r="J47" i="2"/>
  <c r="E48" i="2"/>
  <c r="F48" i="2"/>
  <c r="G48" i="2"/>
  <c r="K48" i="2"/>
  <c r="E49" i="2"/>
  <c r="F49" i="2"/>
  <c r="G49" i="2"/>
  <c r="K49" i="2"/>
  <c r="E50" i="2"/>
  <c r="F50" i="2"/>
  <c r="G50" i="2"/>
  <c r="K50" i="2"/>
  <c r="E51" i="2"/>
  <c r="F51" i="2"/>
  <c r="G51" i="2"/>
  <c r="K51" i="2"/>
  <c r="E52" i="2"/>
  <c r="F52" i="2"/>
  <c r="G52" i="2"/>
  <c r="K52" i="2"/>
  <c r="E53" i="2"/>
  <c r="F53" i="2"/>
  <c r="G53" i="2"/>
  <c r="K53" i="2"/>
  <c r="E54" i="2"/>
  <c r="F54" i="2"/>
  <c r="G54" i="2"/>
  <c r="K54" i="2"/>
  <c r="E55" i="2"/>
  <c r="F55" i="2"/>
  <c r="G55" i="2"/>
  <c r="K55" i="2"/>
  <c r="E43" i="2"/>
  <c r="F43" i="2"/>
  <c r="Q61" i="2"/>
  <c r="Q56" i="2"/>
  <c r="Q57" i="2"/>
  <c r="Q58" i="2"/>
  <c r="Q59" i="2"/>
  <c r="E23" i="2"/>
  <c r="F23" i="2"/>
  <c r="G23" i="2"/>
  <c r="J23" i="2"/>
  <c r="E25" i="2"/>
  <c r="F25" i="2"/>
  <c r="G25" i="2"/>
  <c r="J25" i="2"/>
  <c r="E21" i="2"/>
  <c r="F21" i="2"/>
  <c r="G21" i="2"/>
  <c r="J21" i="2"/>
  <c r="E30" i="2"/>
  <c r="F30" i="2"/>
  <c r="G30" i="2"/>
  <c r="I30" i="2"/>
  <c r="E32" i="2"/>
  <c r="F32" i="2"/>
  <c r="G32" i="2"/>
  <c r="I32" i="2"/>
  <c r="E34" i="2"/>
  <c r="F34" i="2"/>
  <c r="G34" i="2"/>
  <c r="J34" i="2"/>
  <c r="E31" i="2"/>
  <c r="F31" i="2"/>
  <c r="G31" i="2"/>
  <c r="J31" i="2"/>
  <c r="K44" i="2"/>
  <c r="E40" i="2"/>
  <c r="F40" i="2"/>
  <c r="G40" i="2"/>
  <c r="K40" i="2"/>
  <c r="E39" i="2"/>
  <c r="F39" i="2"/>
  <c r="G39" i="2"/>
  <c r="K39" i="2"/>
  <c r="E38" i="2"/>
  <c r="F38" i="2"/>
  <c r="G38" i="2"/>
  <c r="K38" i="2"/>
  <c r="E37" i="2"/>
  <c r="F37" i="2"/>
  <c r="G37" i="2"/>
  <c r="K37" i="2"/>
  <c r="E36" i="2"/>
  <c r="F36" i="2"/>
  <c r="G36" i="2"/>
  <c r="K36" i="2"/>
  <c r="E27" i="2"/>
  <c r="F27" i="2"/>
  <c r="G27" i="2"/>
  <c r="K27" i="2"/>
  <c r="E28" i="2"/>
  <c r="F28" i="2"/>
  <c r="G28" i="2"/>
  <c r="K28" i="2"/>
  <c r="E29" i="2"/>
  <c r="F29" i="2"/>
  <c r="G29" i="2"/>
  <c r="K29" i="2"/>
  <c r="E33" i="2"/>
  <c r="F33" i="2"/>
  <c r="G33" i="2"/>
  <c r="K33" i="2"/>
  <c r="E35" i="2"/>
  <c r="F35" i="2"/>
  <c r="G35" i="2"/>
  <c r="K35" i="2"/>
  <c r="E22" i="2"/>
  <c r="F22" i="2"/>
  <c r="G22" i="2"/>
  <c r="I22" i="2"/>
  <c r="E24" i="2"/>
  <c r="F24" i="2"/>
  <c r="G24" i="2"/>
  <c r="I24" i="2"/>
  <c r="Q32" i="2"/>
  <c r="Q35" i="2"/>
  <c r="G32" i="3"/>
  <c r="C32" i="3"/>
  <c r="E32" i="3"/>
  <c r="G31" i="3"/>
  <c r="C31" i="3"/>
  <c r="E31" i="3"/>
  <c r="G30" i="3"/>
  <c r="C30" i="3"/>
  <c r="E30" i="3"/>
  <c r="G29" i="3"/>
  <c r="C29" i="3"/>
  <c r="E29" i="3"/>
  <c r="G28" i="3"/>
  <c r="C28" i="3"/>
  <c r="G27" i="3"/>
  <c r="C27" i="3"/>
  <c r="E27" i="3"/>
  <c r="G26" i="3"/>
  <c r="C26" i="3"/>
  <c r="E26" i="3"/>
  <c r="G25" i="3"/>
  <c r="C25" i="3"/>
  <c r="E25" i="3"/>
  <c r="G24" i="3"/>
  <c r="C24" i="3"/>
  <c r="E24" i="3"/>
  <c r="G23" i="3"/>
  <c r="C23" i="3"/>
  <c r="E23" i="3"/>
  <c r="G22" i="3"/>
  <c r="C22" i="3"/>
  <c r="E22" i="3"/>
  <c r="G21" i="3"/>
  <c r="C21" i="3"/>
  <c r="E21" i="3"/>
  <c r="G20" i="3"/>
  <c r="C20" i="3"/>
  <c r="E20" i="3"/>
  <c r="G19" i="3"/>
  <c r="C19" i="3"/>
  <c r="E19" i="3"/>
  <c r="G34" i="3"/>
  <c r="C34" i="3"/>
  <c r="E34" i="3"/>
  <c r="G18" i="3"/>
  <c r="C18" i="3"/>
  <c r="E18" i="3"/>
  <c r="G17" i="3"/>
  <c r="C17" i="3"/>
  <c r="E17" i="3"/>
  <c r="G33" i="3"/>
  <c r="C33" i="3"/>
  <c r="E33" i="3"/>
  <c r="G16" i="3"/>
  <c r="C16" i="3"/>
  <c r="E16" i="3"/>
  <c r="G15" i="3"/>
  <c r="C15" i="3"/>
  <c r="E15" i="3"/>
  <c r="G14" i="3"/>
  <c r="C14" i="3"/>
  <c r="E14" i="3"/>
  <c r="G13" i="3"/>
  <c r="C13" i="3"/>
  <c r="E13" i="3"/>
  <c r="G12" i="3"/>
  <c r="C12" i="3"/>
  <c r="E12" i="3"/>
  <c r="G11" i="3"/>
  <c r="C11" i="3"/>
  <c r="E11" i="3"/>
  <c r="E26" i="2"/>
  <c r="F26" i="2"/>
  <c r="G26" i="2"/>
  <c r="K26" i="2"/>
  <c r="H32" i="3"/>
  <c r="D32" i="3"/>
  <c r="B32" i="3"/>
  <c r="A32" i="3"/>
  <c r="H31" i="3"/>
  <c r="D31" i="3"/>
  <c r="B31" i="3"/>
  <c r="A31" i="3"/>
  <c r="H30" i="3"/>
  <c r="D30" i="3"/>
  <c r="B30" i="3"/>
  <c r="A30" i="3"/>
  <c r="H29" i="3"/>
  <c r="D29" i="3"/>
  <c r="B29" i="3"/>
  <c r="A29" i="3"/>
  <c r="H28" i="3"/>
  <c r="D28" i="3"/>
  <c r="B28" i="3"/>
  <c r="A28" i="3"/>
  <c r="H27" i="3"/>
  <c r="D27" i="3"/>
  <c r="B27" i="3"/>
  <c r="A27" i="3"/>
  <c r="H26" i="3"/>
  <c r="D26" i="3"/>
  <c r="B26" i="3"/>
  <c r="A26" i="3"/>
  <c r="H25" i="3"/>
  <c r="D25" i="3"/>
  <c r="B25" i="3"/>
  <c r="A25" i="3"/>
  <c r="H24" i="3"/>
  <c r="D24" i="3"/>
  <c r="B24" i="3"/>
  <c r="A24" i="3"/>
  <c r="H23" i="3"/>
  <c r="D23" i="3"/>
  <c r="B23" i="3"/>
  <c r="A23" i="3"/>
  <c r="H22" i="3"/>
  <c r="D22" i="3"/>
  <c r="B22" i="3"/>
  <c r="A22" i="3"/>
  <c r="H21" i="3"/>
  <c r="D21" i="3"/>
  <c r="B21" i="3"/>
  <c r="A21" i="3"/>
  <c r="H20" i="3"/>
  <c r="D20" i="3"/>
  <c r="B20" i="3"/>
  <c r="A20" i="3"/>
  <c r="H19" i="3"/>
  <c r="D19" i="3"/>
  <c r="B19" i="3"/>
  <c r="A19" i="3"/>
  <c r="H34" i="3"/>
  <c r="D34" i="3"/>
  <c r="B34" i="3"/>
  <c r="A34" i="3"/>
  <c r="H18" i="3"/>
  <c r="D18" i="3"/>
  <c r="B18" i="3"/>
  <c r="A18" i="3"/>
  <c r="H17" i="3"/>
  <c r="D17" i="3"/>
  <c r="B17" i="3"/>
  <c r="A17" i="3"/>
  <c r="H33" i="3"/>
  <c r="D33" i="3"/>
  <c r="B33" i="3"/>
  <c r="A33" i="3"/>
  <c r="H16" i="3"/>
  <c r="D16" i="3"/>
  <c r="B16" i="3"/>
  <c r="A16" i="3"/>
  <c r="H15" i="3"/>
  <c r="D15" i="3"/>
  <c r="B15" i="3"/>
  <c r="A15" i="3"/>
  <c r="H14" i="3"/>
  <c r="D14" i="3"/>
  <c r="B14" i="3"/>
  <c r="A14" i="3"/>
  <c r="H13" i="3"/>
  <c r="D13" i="3"/>
  <c r="B13" i="3"/>
  <c r="A13" i="3"/>
  <c r="H12" i="3"/>
  <c r="D12" i="3"/>
  <c r="B12" i="3"/>
  <c r="A12" i="3"/>
  <c r="H11" i="3"/>
  <c r="D11" i="3"/>
  <c r="B11" i="3"/>
  <c r="A11" i="3"/>
  <c r="Q60" i="2"/>
  <c r="Q50" i="2"/>
  <c r="Q51" i="2"/>
  <c r="Q52" i="2"/>
  <c r="Q54" i="2"/>
  <c r="Q53" i="2"/>
  <c r="Q55" i="2"/>
  <c r="Q46" i="2"/>
  <c r="G11" i="2"/>
  <c r="Q38" i="2"/>
  <c r="Q39" i="2"/>
  <c r="Q40" i="2"/>
  <c r="Q41" i="2"/>
  <c r="Q44" i="2"/>
  <c r="Q45" i="2"/>
  <c r="Q47" i="2"/>
  <c r="Q49" i="2"/>
  <c r="E14" i="2"/>
  <c r="Q42" i="2"/>
  <c r="Q37" i="2"/>
  <c r="Q36" i="2"/>
  <c r="Q48" i="2"/>
  <c r="Q43" i="2"/>
  <c r="Q34" i="2"/>
  <c r="Q30" i="2"/>
  <c r="C17" i="2"/>
  <c r="Q33" i="2"/>
  <c r="Q31" i="2"/>
  <c r="Q21" i="2"/>
  <c r="Q22" i="2"/>
  <c r="Q23" i="2"/>
  <c r="Q24" i="2"/>
  <c r="Q25" i="2"/>
  <c r="Q26" i="2"/>
  <c r="Q27" i="2"/>
  <c r="Q28" i="2"/>
  <c r="Q29" i="2"/>
  <c r="Q29" i="1"/>
  <c r="E29" i="1"/>
  <c r="F29" i="1"/>
  <c r="G29" i="1"/>
  <c r="L29" i="1"/>
  <c r="Q22" i="1"/>
  <c r="Q23" i="1"/>
  <c r="Q24" i="1"/>
  <c r="Q25" i="1"/>
  <c r="Q26" i="1"/>
  <c r="Q27" i="1"/>
  <c r="Q28" i="1"/>
  <c r="E28" i="1"/>
  <c r="F28" i="1"/>
  <c r="G28" i="1"/>
  <c r="K28" i="1"/>
  <c r="E27" i="1"/>
  <c r="F27" i="1"/>
  <c r="G27" i="1"/>
  <c r="K27" i="1"/>
  <c r="E26" i="1"/>
  <c r="F26" i="1"/>
  <c r="G26" i="1"/>
  <c r="K26" i="1"/>
  <c r="E25" i="1"/>
  <c r="F25" i="1"/>
  <c r="G25" i="1"/>
  <c r="H25" i="1"/>
  <c r="E24" i="1"/>
  <c r="F24" i="1"/>
  <c r="G24" i="1"/>
  <c r="I24" i="1"/>
  <c r="E22" i="1"/>
  <c r="F22" i="1"/>
  <c r="G22" i="1"/>
  <c r="I22" i="1"/>
  <c r="E23" i="1"/>
  <c r="F23" i="1"/>
  <c r="G23" i="1"/>
  <c r="H23" i="1"/>
  <c r="E21" i="1"/>
  <c r="F21" i="1"/>
  <c r="G21" i="1"/>
  <c r="C18" i="1"/>
  <c r="Q21" i="1"/>
  <c r="C12" i="1"/>
  <c r="C16" i="1"/>
  <c r="D18" i="1"/>
  <c r="H21" i="1"/>
  <c r="C11" i="1"/>
  <c r="E28" i="3"/>
  <c r="O29" i="1"/>
  <c r="O22" i="1"/>
  <c r="O26" i="1"/>
  <c r="O21" i="1"/>
  <c r="O27" i="1"/>
  <c r="O23" i="1"/>
  <c r="O24" i="1"/>
  <c r="O28" i="1"/>
  <c r="O25" i="1"/>
  <c r="C12" i="2"/>
  <c r="C11" i="2"/>
  <c r="O64" i="2" l="1"/>
  <c r="O57" i="2"/>
  <c r="O49" i="2"/>
  <c r="O56" i="2"/>
  <c r="O53" i="2"/>
  <c r="O42" i="2"/>
  <c r="O61" i="2"/>
  <c r="O38" i="2"/>
  <c r="O36" i="2"/>
  <c r="O55" i="2"/>
  <c r="O58" i="2"/>
  <c r="O63" i="2"/>
  <c r="O51" i="2"/>
  <c r="O35" i="2"/>
  <c r="O34" i="2"/>
  <c r="O39" i="2"/>
  <c r="O50" i="2"/>
  <c r="O62" i="2"/>
  <c r="O60" i="2"/>
  <c r="O43" i="2"/>
  <c r="C15" i="2"/>
  <c r="O52" i="2"/>
  <c r="O48" i="2"/>
  <c r="O46" i="2"/>
  <c r="O37" i="2"/>
  <c r="O45" i="2"/>
  <c r="O32" i="2"/>
  <c r="O40" i="2"/>
  <c r="O44" i="2"/>
  <c r="O54" i="2"/>
  <c r="O59" i="2"/>
  <c r="O41" i="2"/>
  <c r="O47" i="2"/>
  <c r="C16" i="2"/>
  <c r="D18" i="2" s="1"/>
  <c r="E15" i="2"/>
  <c r="C18" i="2" l="1"/>
  <c r="E16" i="2"/>
  <c r="E17" i="2" s="1"/>
</calcChain>
</file>

<file path=xl/sharedStrings.xml><?xml version="1.0" encoding="utf-8"?>
<sst xmlns="http://schemas.openxmlformats.org/spreadsheetml/2006/main" count="397" uniqueCount="209">
  <si>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</si>
  <si>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</si>
  <si>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</si>
  <si>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</si>
  <si>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</si>
  <si>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</si>
  <si>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</si>
  <si>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</si>
  <si>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</si>
  <si>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</si>
  <si>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</si>
  <si>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</si>
  <si>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</si>
  <si>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</si>
  <si>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</si>
  <si>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</si>
  <si>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</si>
  <si>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</si>
  <si>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</si>
  <si>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</si>
  <si>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</si>
  <si>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</si>
  <si>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</si>
  <si>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</si>
  <si>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</si>
  <si>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</si>
  <si>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S5</t>
  </si>
  <si>
    <t>Misc</t>
  </si>
  <si>
    <t>ROTSE</t>
  </si>
  <si>
    <t>IBVS 5060</t>
  </si>
  <si>
    <t>I</t>
  </si>
  <si>
    <t>II</t>
  </si>
  <si>
    <t>Ray</t>
  </si>
  <si>
    <t>Krajci</t>
  </si>
  <si>
    <t>not avail.</t>
  </si>
  <si>
    <t>IBVS</t>
  </si>
  <si>
    <t>GSC 2565-0667</t>
  </si>
  <si>
    <t>GS Boo</t>
  </si>
  <si>
    <t>RHN 2005</t>
  </si>
  <si>
    <t>Nelson</t>
  </si>
  <si>
    <t>IBVS 5592</t>
  </si>
  <si>
    <t>IBVS 5672</t>
  </si>
  <si>
    <t>GS Boo / GSC 2565-0667</t>
  </si>
  <si>
    <t>IBVS 5802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</si>
  <si>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</si>
  <si>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</si>
  <si>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</si>
  <si>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</si>
  <si>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</si>
  <si>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</si>
  <si>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Local time</t>
  </si>
  <si>
    <t>EW</t>
  </si>
  <si>
    <t>Start of linear fit &gt;&gt;&gt;&gt;&gt;&gt;&gt;&gt;&gt;&gt;&gt;&gt;&gt;&gt;&gt;&gt;&gt;&gt;&gt;&gt;&gt;</t>
  </si>
  <si>
    <t>IBVS 5875</t>
  </si>
  <si>
    <t>OEJV 0003</t>
  </si>
  <si>
    <t>IBVS 5918</t>
  </si>
  <si>
    <t>IBVS 5992</t>
  </si>
  <si>
    <t>IBVS 6029</t>
  </si>
  <si>
    <t>IBVS 6039</t>
  </si>
  <si>
    <t>IBVS 6041</t>
  </si>
  <si>
    <t>Add cycle</t>
  </si>
  <si>
    <t>Old Cycle</t>
  </si>
  <si>
    <t>OEJV 0160</t>
  </si>
  <si>
    <t>IBVS 6070</t>
  </si>
  <si>
    <t>IBVS 6118</t>
  </si>
  <si>
    <t>OEJV 0165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</si>
  <si>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</si>
  <si>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</si>
  <si>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</si>
  <si>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</si>
  <si>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</si>
  <si>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</si>
  <si>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</si>
  <si>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</si>
  <si>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</si>
  <si>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</si>
  <si>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</si>
  <si>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</si>
  <si>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2452843.1540 </t>
  </si>
  <si>
    <t> 22.07.2003 15:41 </t>
  </si>
  <si>
    <t> -0.0018 </t>
  </si>
  <si>
    <t>E </t>
  </si>
  <si>
    <t>?</t>
  </si>
  <si>
    <t> T. Krajci </t>
  </si>
  <si>
    <t>IBVS 5592 </t>
  </si>
  <si>
    <t>2453045.5019 </t>
  </si>
  <si>
    <t> 10.02.2004 00:02 </t>
  </si>
  <si>
    <t> -0.0012 </t>
  </si>
  <si>
    <t>2453142.2768 </t>
  </si>
  <si>
    <t> 16.05.2004 18:38 </t>
  </si>
  <si>
    <t>2453472.8209 </t>
  </si>
  <si>
    <t> 12.04.2005 07:42 </t>
  </si>
  <si>
    <t> 0.0003 </t>
  </si>
  <si>
    <t> R. Nelson </t>
  </si>
  <si>
    <t>IBVS 5672 </t>
  </si>
  <si>
    <t>2453515.559 </t>
  </si>
  <si>
    <t> 25.05.2005 01:24 </t>
  </si>
  <si>
    <t> 0.007 </t>
  </si>
  <si>
    <t>V </t>
  </si>
  <si>
    <t> K.Locher </t>
  </si>
  <si>
    <t>OEJV 0003 </t>
  </si>
  <si>
    <t>2454185.4351 </t>
  </si>
  <si>
    <t> 25.03.2007 22:26 </t>
  </si>
  <si>
    <t> -0.0002 </t>
  </si>
  <si>
    <t>C </t>
  </si>
  <si>
    <t>-I</t>
  </si>
  <si>
    <t> F.Agerer </t>
  </si>
  <si>
    <t>BAVM 186 </t>
  </si>
  <si>
    <t>2454573.785 </t>
  </si>
  <si>
    <t> 17.04.2008 06:50 </t>
  </si>
  <si>
    <t>1650</t>
  </si>
  <si>
    <t> -0.006 </t>
  </si>
  <si>
    <t>o</t>
  </si>
  <si>
    <t> A.Paschke </t>
  </si>
  <si>
    <t>OEJV 0162 </t>
  </si>
  <si>
    <t>2454590.7593 </t>
  </si>
  <si>
    <t> 04.05.2008 06:13 </t>
  </si>
  <si>
    <t>1663.5</t>
  </si>
  <si>
    <t> 0.0009 </t>
  </si>
  <si>
    <t>R</t>
  </si>
  <si>
    <t> R.Nelson </t>
  </si>
  <si>
    <t>IBVS 5875 </t>
  </si>
  <si>
    <t>2454591.3852 </t>
  </si>
  <si>
    <t> 04.05.2008 21:14 </t>
  </si>
  <si>
    <t>1664</t>
  </si>
  <si>
    <t> -0.0016 </t>
  </si>
  <si>
    <t> M.&amp; K.Rätz </t>
  </si>
  <si>
    <t>BAVM 209 </t>
  </si>
  <si>
    <t>2455251.2096 </t>
  </si>
  <si>
    <t> 23.02.2010 17:01 </t>
  </si>
  <si>
    <t>2189</t>
  </si>
  <si>
    <t> -0.0056 </t>
  </si>
  <si>
    <t>Rc</t>
  </si>
  <si>
    <t> K.Shiokawa </t>
  </si>
  <si>
    <t>VSB 51 </t>
  </si>
  <si>
    <t>2455328.5045 </t>
  </si>
  <si>
    <t> 12.05.2010 00:06 </t>
  </si>
  <si>
    <t>2250.5</t>
  </si>
  <si>
    <t> -0.0049 </t>
  </si>
  <si>
    <t>m</t>
  </si>
  <si>
    <t> G.Saral </t>
  </si>
  <si>
    <t>IBVS 6039 </t>
  </si>
  <si>
    <t>2455330.3878 </t>
  </si>
  <si>
    <t> 13.05.2010 21:18 </t>
  </si>
  <si>
    <t>2252</t>
  </si>
  <si>
    <t> -0.0068 </t>
  </si>
  <si>
    <t> Y.Dermircan </t>
  </si>
  <si>
    <t>2455624.47859 </t>
  </si>
  <si>
    <t> 03.03.2011 23:29 </t>
  </si>
  <si>
    <t>2486</t>
  </si>
  <si>
    <t> -0.01099 </t>
  </si>
  <si>
    <t>B</t>
  </si>
  <si>
    <t> M.Lehky </t>
  </si>
  <si>
    <t>OEJV 0160 </t>
  </si>
  <si>
    <t>2455624.4787 </t>
  </si>
  <si>
    <t> -0.0109 </t>
  </si>
  <si>
    <t>2455624.47897 </t>
  </si>
  <si>
    <t> -0.01061 </t>
  </si>
  <si>
    <t>2455624.47919 </t>
  </si>
  <si>
    <t> 03.03.2011 23:30 </t>
  </si>
  <si>
    <t> -0.01039 </t>
  </si>
  <si>
    <t>2455663.4409 </t>
  </si>
  <si>
    <t> 11.04.2011 22:34 </t>
  </si>
  <si>
    <t>2517</t>
  </si>
  <si>
    <t> -0.0100 </t>
  </si>
  <si>
    <t> A.Okan &amp; Y.Sendag </t>
  </si>
  <si>
    <t>IBVS 6041 </t>
  </si>
  <si>
    <t>2455674.7518 </t>
  </si>
  <si>
    <t> 23.04.2011 06:02 </t>
  </si>
  <si>
    <t>2526</t>
  </si>
  <si>
    <t> -0.0104 </t>
  </si>
  <si>
    <t> R.Diethelm </t>
  </si>
  <si>
    <t>IBVS 5992 </t>
  </si>
  <si>
    <t>2455969.47345 </t>
  </si>
  <si>
    <t> 11.02.2012 23:21 </t>
  </si>
  <si>
    <t>2760.5</t>
  </si>
  <si>
    <t> -0.01212 </t>
  </si>
  <si>
    <t>2455969.47358 </t>
  </si>
  <si>
    <t> -0.01199 </t>
  </si>
  <si>
    <t>2456015.3421 </t>
  </si>
  <si>
    <t> 28.03.2012 20:12 </t>
  </si>
  <si>
    <t>2797</t>
  </si>
  <si>
    <t> -0.0173 </t>
  </si>
  <si>
    <t> W.Moschner &amp; P.Frank </t>
  </si>
  <si>
    <t>BAVM 234 </t>
  </si>
  <si>
    <t>2456069.3845 </t>
  </si>
  <si>
    <t> 21.05.2012 21:13 </t>
  </si>
  <si>
    <t>2840</t>
  </si>
  <si>
    <t> -0.0179 </t>
  </si>
  <si>
    <t>BAVM 231 </t>
  </si>
  <si>
    <t>2456075.6681 </t>
  </si>
  <si>
    <t> 28.05.2012 04:02 </t>
  </si>
  <si>
    <t>2845</t>
  </si>
  <si>
    <t> -0.0184 </t>
  </si>
  <si>
    <t>IBVS 6029 </t>
  </si>
  <si>
    <t>2456356.55721 </t>
  </si>
  <si>
    <t> 05.03.2013 01:22 </t>
  </si>
  <si>
    <t>3068.5</t>
  </si>
  <si>
    <t> -0.02769 </t>
  </si>
  <si>
    <t> K.Ho?kova </t>
  </si>
  <si>
    <t>s5</t>
  </si>
  <si>
    <t>s6</t>
  </si>
  <si>
    <t>s7</t>
  </si>
  <si>
    <t>OEJV 0162</t>
  </si>
  <si>
    <t>IBVS 6195</t>
  </si>
  <si>
    <t>OEJV 0179</t>
  </si>
  <si>
    <t>2020JAVSO..48….1</t>
  </si>
  <si>
    <t>OEJV 0211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</si>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</sst>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4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u/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49">
    <xf numFmtId="0" fontId="0" fillId="0" borderId="0">
      <alignment vertical="top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6" fillId="0" borderId="0"/>
    <xf numFmtId="0" fontId="9" fillId="0" borderId="0"/>
    <xf numFmtId="0" fontId="9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7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4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0" fillId="0" borderId="0" xfId="0" applyFont="1" applyAlignment="1">
      <alignment horizontal="right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15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16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6" fillId="0" borderId="0" xfId="0" applyFont="1" applyAlignment="1">
      <alignment horizontal="left" vertic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>
      <alignment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1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1" fillId="24" borderId="17" xfId="38" applyFill="1" applyBorder="1" applyAlignment="1" applyProtection="1">
      <alignment horizontal="right" vertical="top" wrapText="1"/>
    </xf>
    <xf numFmtId="0" fontId="22" fillId="0" borderId="0" xfId="0" applyFont="1" applyFill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Alignment="1"/>
    <xf numFmtId="0" fontId="19" fillId="0" borderId="0" xfId="0" applyFont="1" applyAlignment="1">
      <alignment horizontal="left"/>
    </xf>
    <xf numFmtId="0" fontId="18" fillId="0" borderId="18" xfId="0" applyFont="1" applyBorder="1" applyAlignment="1">
      <alignment horizontal="left"/>
    </xf>
    <xf numFmtId="0" fontId="17" fillId="0" borderId="18" xfId="0" applyFont="1" applyBorder="1" applyAlignment="1">
      <alignment horizontal="left"/>
    </xf>
    <xf numFmtId="0" fontId="38" fillId="0" borderId="0" xfId="42" applyFont="1" applyAlignment="1">
      <alignment wrapText="1"/>
    </xf>
    <xf numFmtId="0" fontId="38" fillId="0" borderId="0" xfId="42" applyFont="1" applyAlignment="1">
      <alignment horizontal="center" wrapText="1"/>
    </xf>
    <xf numFmtId="0" fontId="38" fillId="0" borderId="0" xfId="42" applyFont="1" applyAlignment="1">
      <alignment horizontal="left" wrapText="1"/>
    </xf>
    <xf numFmtId="0" fontId="38" fillId="0" borderId="0" xfId="43" applyFont="1"/>
    <xf numFmtId="0" fontId="38" fillId="0" borderId="0" xfId="43" applyFont="1" applyAlignment="1">
      <alignment horizontal="center"/>
    </xf>
    <xf numFmtId="0" fontId="38" fillId="0" borderId="0" xfId="43" applyFont="1" applyAlignment="1">
      <alignment horizontal="left"/>
    </xf>
    <xf numFmtId="0" fontId="38" fillId="0" borderId="0" xfId="42" applyFont="1"/>
    <xf numFmtId="0" fontId="38" fillId="0" borderId="0" xfId="42" applyFont="1" applyAlignment="1">
      <alignment horizontal="center"/>
    </xf>
    <xf numFmtId="0" fontId="38" fillId="0" borderId="0" xfId="42" applyFont="1" applyAlignment="1">
      <alignment horizontal="left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176" fontId="39" fillId="0" borderId="0" xfId="0" applyNumberFormat="1" applyFont="1" applyAlignment="1">
      <alignment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 Boo - O-C Diagr.</a:t>
            </a:r>
          </a:p>
        </c:rich>
      </c:tx>
      <c:layout>
        <c:manualLayout>
          <c:xMode val="edge"/>
          <c:yMode val="edge"/>
          <c:x val="0.37500050474459923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02586173167964"/>
          <c:y val="0.14953316519776211"/>
          <c:w val="0.81410383817833254"/>
          <c:h val="0.654207597740209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52.5</c:v>
                </c:pt>
                <c:pt idx="4">
                  <c:v>93</c:v>
                </c:pt>
                <c:pt idx="5">
                  <c:v>1290</c:v>
                </c:pt>
                <c:pt idx="6">
                  <c:v>1451</c:v>
                </c:pt>
                <c:pt idx="7">
                  <c:v>1528</c:v>
                </c:pt>
                <c:pt idx="8">
                  <c:v>1791</c:v>
                </c:pt>
                <c:pt idx="9">
                  <c:v>1825</c:v>
                </c:pt>
                <c:pt idx="10">
                  <c:v>2358</c:v>
                </c:pt>
                <c:pt idx="11">
                  <c:v>2667</c:v>
                </c:pt>
                <c:pt idx="12">
                  <c:v>2680.5</c:v>
                </c:pt>
                <c:pt idx="13">
                  <c:v>2681</c:v>
                </c:pt>
                <c:pt idx="14">
                  <c:v>3206</c:v>
                </c:pt>
                <c:pt idx="15">
                  <c:v>3267.5</c:v>
                </c:pt>
                <c:pt idx="16">
                  <c:v>3269</c:v>
                </c:pt>
                <c:pt idx="17">
                  <c:v>3503</c:v>
                </c:pt>
                <c:pt idx="18">
                  <c:v>3503</c:v>
                </c:pt>
                <c:pt idx="19">
                  <c:v>3503</c:v>
                </c:pt>
                <c:pt idx="20">
                  <c:v>3503</c:v>
                </c:pt>
                <c:pt idx="21">
                  <c:v>3534</c:v>
                </c:pt>
                <c:pt idx="22">
                  <c:v>3543</c:v>
                </c:pt>
                <c:pt idx="23">
                  <c:v>3777.5</c:v>
                </c:pt>
                <c:pt idx="24">
                  <c:v>3777.5</c:v>
                </c:pt>
                <c:pt idx="25">
                  <c:v>3814</c:v>
                </c:pt>
                <c:pt idx="26">
                  <c:v>3857</c:v>
                </c:pt>
                <c:pt idx="27">
                  <c:v>3862</c:v>
                </c:pt>
                <c:pt idx="28">
                  <c:v>4085.5</c:v>
                </c:pt>
                <c:pt idx="29">
                  <c:v>4085.5</c:v>
                </c:pt>
                <c:pt idx="30">
                  <c:v>4368</c:v>
                </c:pt>
                <c:pt idx="31">
                  <c:v>4368</c:v>
                </c:pt>
                <c:pt idx="32">
                  <c:v>4368</c:v>
                </c:pt>
                <c:pt idx="33">
                  <c:v>4368</c:v>
                </c:pt>
                <c:pt idx="34">
                  <c:v>4395</c:v>
                </c:pt>
                <c:pt idx="35">
                  <c:v>4741</c:v>
                </c:pt>
                <c:pt idx="36">
                  <c:v>4741</c:v>
                </c:pt>
                <c:pt idx="37">
                  <c:v>4741</c:v>
                </c:pt>
                <c:pt idx="38">
                  <c:v>4741</c:v>
                </c:pt>
                <c:pt idx="39">
                  <c:v>4966.5</c:v>
                </c:pt>
                <c:pt idx="40">
                  <c:v>4967</c:v>
                </c:pt>
                <c:pt idx="41">
                  <c:v>5482</c:v>
                </c:pt>
                <c:pt idx="42">
                  <c:v>5881.5</c:v>
                </c:pt>
                <c:pt idx="43">
                  <c:v>6696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3C-424E-8635-2BE87CB1B60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1">
                    <c:v>5.0000000000000001E-4</c:v>
                  </c:pt>
                  <c:pt idx="3">
                    <c:v>1.0999999999999999E-2</c:v>
                  </c:pt>
                  <c:pt idx="5">
                    <c:v>2E-3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5.0000000000000001E-3</c:v>
                  </c:pt>
                  <c:pt idx="10">
                    <c:v>1.1000000000000001E-3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0</c:v>
                  </c:pt>
                  <c:pt idx="15">
                    <c:v>3.0999999999999999E-3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1.5E-3</c:v>
                  </c:pt>
                  <c:pt idx="22">
                    <c:v>4.0000000000000002E-4</c:v>
                  </c:pt>
                  <c:pt idx="23">
                    <c:v>2.0999999999999999E-3</c:v>
                  </c:pt>
                  <c:pt idx="24">
                    <c:v>1.1000000000000001E-3</c:v>
                  </c:pt>
                  <c:pt idx="25">
                    <c:v>1E-4</c:v>
                  </c:pt>
                  <c:pt idx="26">
                    <c:v>3.2000000000000002E-3</c:v>
                  </c:pt>
                  <c:pt idx="27">
                    <c:v>8.0000000000000004E-4</c:v>
                  </c:pt>
                  <c:pt idx="28">
                    <c:v>5.0000000000000001E-4</c:v>
                  </c:pt>
                  <c:pt idx="29">
                    <c:v>5.2999999999999998E-4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2.9999999999999997E-4</c:v>
                  </c:pt>
                  <c:pt idx="40">
                    <c:v>1.6000000000000001E-3</c:v>
                  </c:pt>
                  <c:pt idx="41">
                    <c:v>4.0000000000000002E-4</c:v>
                  </c:pt>
                  <c:pt idx="42">
                    <c:v>8.9999999999999998E-4</c:v>
                  </c:pt>
                  <c:pt idx="43">
                    <c:v>4.0000000000000002E-4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1">
                    <c:v>5.0000000000000001E-4</c:v>
                  </c:pt>
                  <c:pt idx="3">
                    <c:v>1.0999999999999999E-2</c:v>
                  </c:pt>
                  <c:pt idx="5">
                    <c:v>2E-3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5.0000000000000001E-3</c:v>
                  </c:pt>
                  <c:pt idx="10">
                    <c:v>1.1000000000000001E-3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0</c:v>
                  </c:pt>
                  <c:pt idx="15">
                    <c:v>3.0999999999999999E-3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1.5E-3</c:v>
                  </c:pt>
                  <c:pt idx="22">
                    <c:v>4.0000000000000002E-4</c:v>
                  </c:pt>
                  <c:pt idx="23">
                    <c:v>2.0999999999999999E-3</c:v>
                  </c:pt>
                  <c:pt idx="24">
                    <c:v>1.1000000000000001E-3</c:v>
                  </c:pt>
                  <c:pt idx="25">
                    <c:v>1E-4</c:v>
                  </c:pt>
                  <c:pt idx="26">
                    <c:v>3.2000000000000002E-3</c:v>
                  </c:pt>
                  <c:pt idx="27">
                    <c:v>8.0000000000000004E-4</c:v>
                  </c:pt>
                  <c:pt idx="28">
                    <c:v>5.0000000000000001E-4</c:v>
                  </c:pt>
                  <c:pt idx="29">
                    <c:v>5.2999999999999998E-4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2.9999999999999997E-4</c:v>
                  </c:pt>
                  <c:pt idx="40">
                    <c:v>1.6000000000000001E-3</c:v>
                  </c:pt>
                  <c:pt idx="41">
                    <c:v>4.0000000000000002E-4</c:v>
                  </c:pt>
                  <c:pt idx="42">
                    <c:v>8.9999999999999998E-4</c:v>
                  </c:pt>
                  <c:pt idx="4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52.5</c:v>
                </c:pt>
                <c:pt idx="4">
                  <c:v>93</c:v>
                </c:pt>
                <c:pt idx="5">
                  <c:v>1290</c:v>
                </c:pt>
                <c:pt idx="6">
                  <c:v>1451</c:v>
                </c:pt>
                <c:pt idx="7">
                  <c:v>1528</c:v>
                </c:pt>
                <c:pt idx="8">
                  <c:v>1791</c:v>
                </c:pt>
                <c:pt idx="9">
                  <c:v>1825</c:v>
                </c:pt>
                <c:pt idx="10">
                  <c:v>2358</c:v>
                </c:pt>
                <c:pt idx="11">
                  <c:v>2667</c:v>
                </c:pt>
                <c:pt idx="12">
                  <c:v>2680.5</c:v>
                </c:pt>
                <c:pt idx="13">
                  <c:v>2681</c:v>
                </c:pt>
                <c:pt idx="14">
                  <c:v>3206</c:v>
                </c:pt>
                <c:pt idx="15">
                  <c:v>3267.5</c:v>
                </c:pt>
                <c:pt idx="16">
                  <c:v>3269</c:v>
                </c:pt>
                <c:pt idx="17">
                  <c:v>3503</c:v>
                </c:pt>
                <c:pt idx="18">
                  <c:v>3503</c:v>
                </c:pt>
                <c:pt idx="19">
                  <c:v>3503</c:v>
                </c:pt>
                <c:pt idx="20">
                  <c:v>3503</c:v>
                </c:pt>
                <c:pt idx="21">
                  <c:v>3534</c:v>
                </c:pt>
                <c:pt idx="22">
                  <c:v>3543</c:v>
                </c:pt>
                <c:pt idx="23">
                  <c:v>3777.5</c:v>
                </c:pt>
                <c:pt idx="24">
                  <c:v>3777.5</c:v>
                </c:pt>
                <c:pt idx="25">
                  <c:v>3814</c:v>
                </c:pt>
                <c:pt idx="26">
                  <c:v>3857</c:v>
                </c:pt>
                <c:pt idx="27">
                  <c:v>3862</c:v>
                </c:pt>
                <c:pt idx="28">
                  <c:v>4085.5</c:v>
                </c:pt>
                <c:pt idx="29">
                  <c:v>4085.5</c:v>
                </c:pt>
                <c:pt idx="30">
                  <c:v>4368</c:v>
                </c:pt>
                <c:pt idx="31">
                  <c:v>4368</c:v>
                </c:pt>
                <c:pt idx="32">
                  <c:v>4368</c:v>
                </c:pt>
                <c:pt idx="33">
                  <c:v>4368</c:v>
                </c:pt>
                <c:pt idx="34">
                  <c:v>4395</c:v>
                </c:pt>
                <c:pt idx="35">
                  <c:v>4741</c:v>
                </c:pt>
                <c:pt idx="36">
                  <c:v>4741</c:v>
                </c:pt>
                <c:pt idx="37">
                  <c:v>4741</c:v>
                </c:pt>
                <c:pt idx="38">
                  <c:v>4741</c:v>
                </c:pt>
                <c:pt idx="39">
                  <c:v>4966.5</c:v>
                </c:pt>
                <c:pt idx="40">
                  <c:v>4967</c:v>
                </c:pt>
                <c:pt idx="41">
                  <c:v>5482</c:v>
                </c:pt>
                <c:pt idx="42">
                  <c:v>5881.5</c:v>
                </c:pt>
                <c:pt idx="43">
                  <c:v>6696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">
                  <c:v>1.4599999849451706E-4</c:v>
                </c:pt>
                <c:pt idx="3">
                  <c:v>2.644397128460696E-2</c:v>
                </c:pt>
                <c:pt idx="9">
                  <c:v>1.4613573279348202E-2</c:v>
                </c:pt>
                <c:pt idx="11">
                  <c:v>-1.0570586600806564E-3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3C-424E-8635-2BE87CB1B60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Active!$D$21:$D$38</c:f>
                <c:numCache>
                  <c:formatCode>General</c:formatCode>
                  <c:ptCount val="18"/>
                  <c:pt idx="1">
                    <c:v>5.0000000000000001E-4</c:v>
                  </c:pt>
                  <c:pt idx="3">
                    <c:v>1.0999999999999999E-2</c:v>
                  </c:pt>
                  <c:pt idx="5">
                    <c:v>2E-3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5.0000000000000001E-3</c:v>
                  </c:pt>
                  <c:pt idx="10">
                    <c:v>1.1000000000000001E-3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0</c:v>
                  </c:pt>
                  <c:pt idx="15">
                    <c:v>3.0999999999999999E-3</c:v>
                  </c:pt>
                  <c:pt idx="16">
                    <c:v>2.9999999999999997E-4</c:v>
                  </c:pt>
                  <c:pt idx="17">
                    <c:v>1E-4</c:v>
                  </c:pt>
                </c:numCache>
              </c:numRef>
            </c:plus>
            <c:minus>
              <c:numRef>
                <c:f>Active!$D$21:$D$38</c:f>
                <c:numCache>
                  <c:formatCode>General</c:formatCode>
                  <c:ptCount val="18"/>
                  <c:pt idx="1">
                    <c:v>5.0000000000000001E-4</c:v>
                  </c:pt>
                  <c:pt idx="3">
                    <c:v>1.0999999999999999E-2</c:v>
                  </c:pt>
                  <c:pt idx="5">
                    <c:v>2E-3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5.0000000000000001E-3</c:v>
                  </c:pt>
                  <c:pt idx="10">
                    <c:v>1.1000000000000001E-3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0</c:v>
                  </c:pt>
                  <c:pt idx="15">
                    <c:v>3.0999999999999999E-3</c:v>
                  </c:pt>
                  <c:pt idx="16">
                    <c:v>2.9999999999999997E-4</c:v>
                  </c:pt>
                  <c:pt idx="1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52.5</c:v>
                </c:pt>
                <c:pt idx="4">
                  <c:v>93</c:v>
                </c:pt>
                <c:pt idx="5">
                  <c:v>1290</c:v>
                </c:pt>
                <c:pt idx="6">
                  <c:v>1451</c:v>
                </c:pt>
                <c:pt idx="7">
                  <c:v>1528</c:v>
                </c:pt>
                <c:pt idx="8">
                  <c:v>1791</c:v>
                </c:pt>
                <c:pt idx="9">
                  <c:v>1825</c:v>
                </c:pt>
                <c:pt idx="10">
                  <c:v>2358</c:v>
                </c:pt>
                <c:pt idx="11">
                  <c:v>2667</c:v>
                </c:pt>
                <c:pt idx="12">
                  <c:v>2680.5</c:v>
                </c:pt>
                <c:pt idx="13">
                  <c:v>2681</c:v>
                </c:pt>
                <c:pt idx="14">
                  <c:v>3206</c:v>
                </c:pt>
                <c:pt idx="15">
                  <c:v>3267.5</c:v>
                </c:pt>
                <c:pt idx="16">
                  <c:v>3269</c:v>
                </c:pt>
                <c:pt idx="17">
                  <c:v>3503</c:v>
                </c:pt>
                <c:pt idx="18">
                  <c:v>3503</c:v>
                </c:pt>
                <c:pt idx="19">
                  <c:v>3503</c:v>
                </c:pt>
                <c:pt idx="20">
                  <c:v>3503</c:v>
                </c:pt>
                <c:pt idx="21">
                  <c:v>3534</c:v>
                </c:pt>
                <c:pt idx="22">
                  <c:v>3543</c:v>
                </c:pt>
                <c:pt idx="23">
                  <c:v>3777.5</c:v>
                </c:pt>
                <c:pt idx="24">
                  <c:v>3777.5</c:v>
                </c:pt>
                <c:pt idx="25">
                  <c:v>3814</c:v>
                </c:pt>
                <c:pt idx="26">
                  <c:v>3857</c:v>
                </c:pt>
                <c:pt idx="27">
                  <c:v>3862</c:v>
                </c:pt>
                <c:pt idx="28">
                  <c:v>4085.5</c:v>
                </c:pt>
                <c:pt idx="29">
                  <c:v>4085.5</c:v>
                </c:pt>
                <c:pt idx="30">
                  <c:v>4368</c:v>
                </c:pt>
                <c:pt idx="31">
                  <c:v>4368</c:v>
                </c:pt>
                <c:pt idx="32">
                  <c:v>4368</c:v>
                </c:pt>
                <c:pt idx="33">
                  <c:v>4368</c:v>
                </c:pt>
                <c:pt idx="34">
                  <c:v>4395</c:v>
                </c:pt>
                <c:pt idx="35">
                  <c:v>4741</c:v>
                </c:pt>
                <c:pt idx="36">
                  <c:v>4741</c:v>
                </c:pt>
                <c:pt idx="37">
                  <c:v>4741</c:v>
                </c:pt>
                <c:pt idx="38">
                  <c:v>4741</c:v>
                </c:pt>
                <c:pt idx="39">
                  <c:v>4966.5</c:v>
                </c:pt>
                <c:pt idx="40">
                  <c:v>4967</c:v>
                </c:pt>
                <c:pt idx="41">
                  <c:v>5482</c:v>
                </c:pt>
                <c:pt idx="42">
                  <c:v>5881.5</c:v>
                </c:pt>
                <c:pt idx="43">
                  <c:v>6696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0">
                  <c:v>0</c:v>
                </c:pt>
                <c:pt idx="2">
                  <c:v>9.6665495220804587E-4</c:v>
                </c:pt>
                <c:pt idx="4">
                  <c:v>1.4567977705155499E-2</c:v>
                </c:pt>
                <c:pt idx="10">
                  <c:v>6.1405960514093749E-3</c:v>
                </c:pt>
                <c:pt idx="13">
                  <c:v>3.675733671116177E-3</c:v>
                </c:pt>
                <c:pt idx="25">
                  <c:v>-1.5449000282387715E-2</c:v>
                </c:pt>
                <c:pt idx="26">
                  <c:v>-1.6269709514745045E-2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3C-424E-8635-2BE87CB1B60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">
                    <c:v>5.0000000000000001E-4</c:v>
                  </c:pt>
                  <c:pt idx="3">
                    <c:v>1.0999999999999999E-2</c:v>
                  </c:pt>
                  <c:pt idx="5">
                    <c:v>2E-3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5.0000000000000001E-3</c:v>
                  </c:pt>
                  <c:pt idx="10">
                    <c:v>1.1000000000000001E-3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0</c:v>
                  </c:pt>
                  <c:pt idx="15">
                    <c:v>3.0999999999999999E-3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1.5E-3</c:v>
                  </c:pt>
                  <c:pt idx="22">
                    <c:v>4.0000000000000002E-4</c:v>
                  </c:pt>
                  <c:pt idx="23">
                    <c:v>2.0999999999999999E-3</c:v>
                  </c:pt>
                  <c:pt idx="24">
                    <c:v>1.1000000000000001E-3</c:v>
                  </c:pt>
                  <c:pt idx="25">
                    <c:v>1E-4</c:v>
                  </c:pt>
                  <c:pt idx="26">
                    <c:v>3.2000000000000002E-3</c:v>
                  </c:pt>
                  <c:pt idx="27">
                    <c:v>8.0000000000000004E-4</c:v>
                  </c:pt>
                  <c:pt idx="28">
                    <c:v>5.0000000000000001E-4</c:v>
                  </c:pt>
                  <c:pt idx="29">
                    <c:v>5.2999999999999998E-4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2.9999999999999997E-4</c:v>
                  </c:pt>
                  <c:pt idx="40">
                    <c:v>1.6000000000000001E-3</c:v>
                  </c:pt>
                  <c:pt idx="41">
                    <c:v>4.0000000000000002E-4</c:v>
                  </c:pt>
                  <c:pt idx="42">
                    <c:v>8.9999999999999998E-4</c:v>
                  </c:pt>
                  <c:pt idx="43">
                    <c:v>4.0000000000000002E-4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">
                    <c:v>5.0000000000000001E-4</c:v>
                  </c:pt>
                  <c:pt idx="3">
                    <c:v>1.0999999999999999E-2</c:v>
                  </c:pt>
                  <c:pt idx="5">
                    <c:v>2E-3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5.0000000000000001E-3</c:v>
                  </c:pt>
                  <c:pt idx="10">
                    <c:v>1.1000000000000001E-3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0</c:v>
                  </c:pt>
                  <c:pt idx="15">
                    <c:v>3.0999999999999999E-3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1.5E-3</c:v>
                  </c:pt>
                  <c:pt idx="22">
                    <c:v>4.0000000000000002E-4</c:v>
                  </c:pt>
                  <c:pt idx="23">
                    <c:v>2.0999999999999999E-3</c:v>
                  </c:pt>
                  <c:pt idx="24">
                    <c:v>1.1000000000000001E-3</c:v>
                  </c:pt>
                  <c:pt idx="25">
                    <c:v>1E-4</c:v>
                  </c:pt>
                  <c:pt idx="26">
                    <c:v>3.2000000000000002E-3</c:v>
                  </c:pt>
                  <c:pt idx="27">
                    <c:v>8.0000000000000004E-4</c:v>
                  </c:pt>
                  <c:pt idx="28">
                    <c:v>5.0000000000000001E-4</c:v>
                  </c:pt>
                  <c:pt idx="29">
                    <c:v>5.2999999999999998E-4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2.9999999999999997E-4</c:v>
                  </c:pt>
                  <c:pt idx="40">
                    <c:v>1.6000000000000001E-3</c:v>
                  </c:pt>
                  <c:pt idx="41">
                    <c:v>4.0000000000000002E-4</c:v>
                  </c:pt>
                  <c:pt idx="42">
                    <c:v>8.9999999999999998E-4</c:v>
                  </c:pt>
                  <c:pt idx="4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52.5</c:v>
                </c:pt>
                <c:pt idx="4">
                  <c:v>93</c:v>
                </c:pt>
                <c:pt idx="5">
                  <c:v>1290</c:v>
                </c:pt>
                <c:pt idx="6">
                  <c:v>1451</c:v>
                </c:pt>
                <c:pt idx="7">
                  <c:v>1528</c:v>
                </c:pt>
                <c:pt idx="8">
                  <c:v>1791</c:v>
                </c:pt>
                <c:pt idx="9">
                  <c:v>1825</c:v>
                </c:pt>
                <c:pt idx="10">
                  <c:v>2358</c:v>
                </c:pt>
                <c:pt idx="11">
                  <c:v>2667</c:v>
                </c:pt>
                <c:pt idx="12">
                  <c:v>2680.5</c:v>
                </c:pt>
                <c:pt idx="13">
                  <c:v>2681</c:v>
                </c:pt>
                <c:pt idx="14">
                  <c:v>3206</c:v>
                </c:pt>
                <c:pt idx="15">
                  <c:v>3267.5</c:v>
                </c:pt>
                <c:pt idx="16">
                  <c:v>3269</c:v>
                </c:pt>
                <c:pt idx="17">
                  <c:v>3503</c:v>
                </c:pt>
                <c:pt idx="18">
                  <c:v>3503</c:v>
                </c:pt>
                <c:pt idx="19">
                  <c:v>3503</c:v>
                </c:pt>
                <c:pt idx="20">
                  <c:v>3503</c:v>
                </c:pt>
                <c:pt idx="21">
                  <c:v>3534</c:v>
                </c:pt>
                <c:pt idx="22">
                  <c:v>3543</c:v>
                </c:pt>
                <c:pt idx="23">
                  <c:v>3777.5</c:v>
                </c:pt>
                <c:pt idx="24">
                  <c:v>3777.5</c:v>
                </c:pt>
                <c:pt idx="25">
                  <c:v>3814</c:v>
                </c:pt>
                <c:pt idx="26">
                  <c:v>3857</c:v>
                </c:pt>
                <c:pt idx="27">
                  <c:v>3862</c:v>
                </c:pt>
                <c:pt idx="28">
                  <c:v>4085.5</c:v>
                </c:pt>
                <c:pt idx="29">
                  <c:v>4085.5</c:v>
                </c:pt>
                <c:pt idx="30">
                  <c:v>4368</c:v>
                </c:pt>
                <c:pt idx="31">
                  <c:v>4368</c:v>
                </c:pt>
                <c:pt idx="32">
                  <c:v>4368</c:v>
                </c:pt>
                <c:pt idx="33">
                  <c:v>4368</c:v>
                </c:pt>
                <c:pt idx="34">
                  <c:v>4395</c:v>
                </c:pt>
                <c:pt idx="35">
                  <c:v>4741</c:v>
                </c:pt>
                <c:pt idx="36">
                  <c:v>4741</c:v>
                </c:pt>
                <c:pt idx="37">
                  <c:v>4741</c:v>
                </c:pt>
                <c:pt idx="38">
                  <c:v>4741</c:v>
                </c:pt>
                <c:pt idx="39">
                  <c:v>4966.5</c:v>
                </c:pt>
                <c:pt idx="40">
                  <c:v>4967</c:v>
                </c:pt>
                <c:pt idx="41">
                  <c:v>5482</c:v>
                </c:pt>
                <c:pt idx="42">
                  <c:v>5881.5</c:v>
                </c:pt>
                <c:pt idx="43">
                  <c:v>6696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5">
                  <c:v>7.8247230339911766E-3</c:v>
                </c:pt>
                <c:pt idx="6">
                  <c:v>7.8518349764635786E-3</c:v>
                </c:pt>
                <c:pt idx="7">
                  <c:v>7.6821928596473299E-3</c:v>
                </c:pt>
                <c:pt idx="8">
                  <c:v>8.362506159755867E-3</c:v>
                </c:pt>
                <c:pt idx="12">
                  <c:v>6.1852768048993312E-3</c:v>
                </c:pt>
                <c:pt idx="14">
                  <c:v>-1.9445534562692046E-3</c:v>
                </c:pt>
                <c:pt idx="15">
                  <c:v>-1.4183585226419382E-3</c:v>
                </c:pt>
                <c:pt idx="16">
                  <c:v>-3.3469879199401475E-3</c:v>
                </c:pt>
                <c:pt idx="17">
                  <c:v>-8.22317304846365E-3</c:v>
                </c:pt>
                <c:pt idx="18">
                  <c:v>-8.113173047604505E-3</c:v>
                </c:pt>
                <c:pt idx="19">
                  <c:v>-7.8431730507872999E-3</c:v>
                </c:pt>
                <c:pt idx="20">
                  <c:v>-7.6231730490690097E-3</c:v>
                </c:pt>
                <c:pt idx="21">
                  <c:v>-7.3048471385845914E-3</c:v>
                </c:pt>
                <c:pt idx="22">
                  <c:v>-7.7766234899172559E-3</c:v>
                </c:pt>
                <c:pt idx="23">
                  <c:v>-1.0202351746556815E-2</c:v>
                </c:pt>
                <c:pt idx="24">
                  <c:v>-1.0072351746202912E-2</c:v>
                </c:pt>
                <c:pt idx="27">
                  <c:v>-1.6765140819188673E-2</c:v>
                </c:pt>
                <c:pt idx="28">
                  <c:v>-2.6720920199295506E-2</c:v>
                </c:pt>
                <c:pt idx="29">
                  <c:v>-2.0440920197870582E-2</c:v>
                </c:pt>
                <c:pt idx="30">
                  <c:v>-2.6792788994498551E-2</c:v>
                </c:pt>
                <c:pt idx="31">
                  <c:v>-2.6572788992780261E-2</c:v>
                </c:pt>
                <c:pt idx="32">
                  <c:v>-2.6502788990910631E-2</c:v>
                </c:pt>
                <c:pt idx="33">
                  <c:v>-2.6432788989041001E-2</c:v>
                </c:pt>
                <c:pt idx="34">
                  <c:v>-2.7398118050768971E-2</c:v>
                </c:pt>
                <c:pt idx="35">
                  <c:v>-3.4721964431810193E-2</c:v>
                </c:pt>
                <c:pt idx="36">
                  <c:v>-3.4711964428424835E-2</c:v>
                </c:pt>
                <c:pt idx="37">
                  <c:v>-3.4541964429081418E-2</c:v>
                </c:pt>
                <c:pt idx="38">
                  <c:v>-3.4121964432415552E-2</c:v>
                </c:pt>
                <c:pt idx="39">
                  <c:v>-3.9445916336262599E-2</c:v>
                </c:pt>
                <c:pt idx="40">
                  <c:v>-4.0355459459533449E-2</c:v>
                </c:pt>
                <c:pt idx="41">
                  <c:v>-5.2734884069650434E-2</c:v>
                </c:pt>
                <c:pt idx="42">
                  <c:v>-5.4309845349052921E-2</c:v>
                </c:pt>
                <c:pt idx="43">
                  <c:v>-7.3155605110514443E-2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3C-424E-8635-2BE87CB1B60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">
                    <c:v>5.0000000000000001E-4</c:v>
                  </c:pt>
                  <c:pt idx="3">
                    <c:v>1.0999999999999999E-2</c:v>
                  </c:pt>
                  <c:pt idx="5">
                    <c:v>2E-3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5.0000000000000001E-3</c:v>
                  </c:pt>
                  <c:pt idx="10">
                    <c:v>1.1000000000000001E-3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0</c:v>
                  </c:pt>
                  <c:pt idx="15">
                    <c:v>3.0999999999999999E-3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1.5E-3</c:v>
                  </c:pt>
                  <c:pt idx="22">
                    <c:v>4.0000000000000002E-4</c:v>
                  </c:pt>
                  <c:pt idx="23">
                    <c:v>2.0999999999999999E-3</c:v>
                  </c:pt>
                  <c:pt idx="24">
                    <c:v>1.1000000000000001E-3</c:v>
                  </c:pt>
                  <c:pt idx="25">
                    <c:v>1E-4</c:v>
                  </c:pt>
                  <c:pt idx="26">
                    <c:v>3.2000000000000002E-3</c:v>
                  </c:pt>
                  <c:pt idx="27">
                    <c:v>8.0000000000000004E-4</c:v>
                  </c:pt>
                  <c:pt idx="28">
                    <c:v>5.0000000000000001E-4</c:v>
                  </c:pt>
                  <c:pt idx="29">
                    <c:v>5.2999999999999998E-4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2.9999999999999997E-4</c:v>
                  </c:pt>
                  <c:pt idx="40">
                    <c:v>1.6000000000000001E-3</c:v>
                  </c:pt>
                  <c:pt idx="41">
                    <c:v>4.0000000000000002E-4</c:v>
                  </c:pt>
                  <c:pt idx="42">
                    <c:v>8.9999999999999998E-4</c:v>
                  </c:pt>
                  <c:pt idx="43">
                    <c:v>4.0000000000000002E-4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">
                    <c:v>5.0000000000000001E-4</c:v>
                  </c:pt>
                  <c:pt idx="3">
                    <c:v>1.0999999999999999E-2</c:v>
                  </c:pt>
                  <c:pt idx="5">
                    <c:v>2E-3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5.0000000000000001E-3</c:v>
                  </c:pt>
                  <c:pt idx="10">
                    <c:v>1.1000000000000001E-3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0</c:v>
                  </c:pt>
                  <c:pt idx="15">
                    <c:v>3.0999999999999999E-3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1.5E-3</c:v>
                  </c:pt>
                  <c:pt idx="22">
                    <c:v>4.0000000000000002E-4</c:v>
                  </c:pt>
                  <c:pt idx="23">
                    <c:v>2.0999999999999999E-3</c:v>
                  </c:pt>
                  <c:pt idx="24">
                    <c:v>1.1000000000000001E-3</c:v>
                  </c:pt>
                  <c:pt idx="25">
                    <c:v>1E-4</c:v>
                  </c:pt>
                  <c:pt idx="26">
                    <c:v>3.2000000000000002E-3</c:v>
                  </c:pt>
                  <c:pt idx="27">
                    <c:v>8.0000000000000004E-4</c:v>
                  </c:pt>
                  <c:pt idx="28">
                    <c:v>5.0000000000000001E-4</c:v>
                  </c:pt>
                  <c:pt idx="29">
                    <c:v>5.2999999999999998E-4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2.9999999999999997E-4</c:v>
                  </c:pt>
                  <c:pt idx="40">
                    <c:v>1.6000000000000001E-3</c:v>
                  </c:pt>
                  <c:pt idx="41">
                    <c:v>4.0000000000000002E-4</c:v>
                  </c:pt>
                  <c:pt idx="42">
                    <c:v>8.9999999999999998E-4</c:v>
                  </c:pt>
                  <c:pt idx="4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52.5</c:v>
                </c:pt>
                <c:pt idx="4">
                  <c:v>93</c:v>
                </c:pt>
                <c:pt idx="5">
                  <c:v>1290</c:v>
                </c:pt>
                <c:pt idx="6">
                  <c:v>1451</c:v>
                </c:pt>
                <c:pt idx="7">
                  <c:v>1528</c:v>
                </c:pt>
                <c:pt idx="8">
                  <c:v>1791</c:v>
                </c:pt>
                <c:pt idx="9">
                  <c:v>1825</c:v>
                </c:pt>
                <c:pt idx="10">
                  <c:v>2358</c:v>
                </c:pt>
                <c:pt idx="11">
                  <c:v>2667</c:v>
                </c:pt>
                <c:pt idx="12">
                  <c:v>2680.5</c:v>
                </c:pt>
                <c:pt idx="13">
                  <c:v>2681</c:v>
                </c:pt>
                <c:pt idx="14">
                  <c:v>3206</c:v>
                </c:pt>
                <c:pt idx="15">
                  <c:v>3267.5</c:v>
                </c:pt>
                <c:pt idx="16">
                  <c:v>3269</c:v>
                </c:pt>
                <c:pt idx="17">
                  <c:v>3503</c:v>
                </c:pt>
                <c:pt idx="18">
                  <c:v>3503</c:v>
                </c:pt>
                <c:pt idx="19">
                  <c:v>3503</c:v>
                </c:pt>
                <c:pt idx="20">
                  <c:v>3503</c:v>
                </c:pt>
                <c:pt idx="21">
                  <c:v>3534</c:v>
                </c:pt>
                <c:pt idx="22">
                  <c:v>3543</c:v>
                </c:pt>
                <c:pt idx="23">
                  <c:v>3777.5</c:v>
                </c:pt>
                <c:pt idx="24">
                  <c:v>3777.5</c:v>
                </c:pt>
                <c:pt idx="25">
                  <c:v>3814</c:v>
                </c:pt>
                <c:pt idx="26">
                  <c:v>3857</c:v>
                </c:pt>
                <c:pt idx="27">
                  <c:v>3862</c:v>
                </c:pt>
                <c:pt idx="28">
                  <c:v>4085.5</c:v>
                </c:pt>
                <c:pt idx="29">
                  <c:v>4085.5</c:v>
                </c:pt>
                <c:pt idx="30">
                  <c:v>4368</c:v>
                </c:pt>
                <c:pt idx="31">
                  <c:v>4368</c:v>
                </c:pt>
                <c:pt idx="32">
                  <c:v>4368</c:v>
                </c:pt>
                <c:pt idx="33">
                  <c:v>4368</c:v>
                </c:pt>
                <c:pt idx="34">
                  <c:v>4395</c:v>
                </c:pt>
                <c:pt idx="35">
                  <c:v>4741</c:v>
                </c:pt>
                <c:pt idx="36">
                  <c:v>4741</c:v>
                </c:pt>
                <c:pt idx="37">
                  <c:v>4741</c:v>
                </c:pt>
                <c:pt idx="38">
                  <c:v>4741</c:v>
                </c:pt>
                <c:pt idx="39">
                  <c:v>4966.5</c:v>
                </c:pt>
                <c:pt idx="40">
                  <c:v>4967</c:v>
                </c:pt>
                <c:pt idx="41">
                  <c:v>5482</c:v>
                </c:pt>
                <c:pt idx="42">
                  <c:v>5881.5</c:v>
                </c:pt>
                <c:pt idx="43">
                  <c:v>6696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3C-424E-8635-2BE87CB1B60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">
                    <c:v>5.0000000000000001E-4</c:v>
                  </c:pt>
                  <c:pt idx="3">
                    <c:v>1.0999999999999999E-2</c:v>
                  </c:pt>
                  <c:pt idx="5">
                    <c:v>2E-3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5.0000000000000001E-3</c:v>
                  </c:pt>
                  <c:pt idx="10">
                    <c:v>1.1000000000000001E-3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0</c:v>
                  </c:pt>
                  <c:pt idx="15">
                    <c:v>3.0999999999999999E-3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1.5E-3</c:v>
                  </c:pt>
                  <c:pt idx="22">
                    <c:v>4.0000000000000002E-4</c:v>
                  </c:pt>
                  <c:pt idx="23">
                    <c:v>2.0999999999999999E-3</c:v>
                  </c:pt>
                  <c:pt idx="24">
                    <c:v>1.1000000000000001E-3</c:v>
                  </c:pt>
                  <c:pt idx="25">
                    <c:v>1E-4</c:v>
                  </c:pt>
                  <c:pt idx="26">
                    <c:v>3.2000000000000002E-3</c:v>
                  </c:pt>
                  <c:pt idx="27">
                    <c:v>8.0000000000000004E-4</c:v>
                  </c:pt>
                  <c:pt idx="28">
                    <c:v>5.0000000000000001E-4</c:v>
                  </c:pt>
                  <c:pt idx="29">
                    <c:v>5.2999999999999998E-4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2.9999999999999997E-4</c:v>
                  </c:pt>
                  <c:pt idx="40">
                    <c:v>1.6000000000000001E-3</c:v>
                  </c:pt>
                  <c:pt idx="41">
                    <c:v>4.0000000000000002E-4</c:v>
                  </c:pt>
                  <c:pt idx="42">
                    <c:v>8.9999999999999998E-4</c:v>
                  </c:pt>
                  <c:pt idx="43">
                    <c:v>4.0000000000000002E-4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">
                    <c:v>5.0000000000000001E-4</c:v>
                  </c:pt>
                  <c:pt idx="3">
                    <c:v>1.0999999999999999E-2</c:v>
                  </c:pt>
                  <c:pt idx="5">
                    <c:v>2E-3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5.0000000000000001E-3</c:v>
                  </c:pt>
                  <c:pt idx="10">
                    <c:v>1.1000000000000001E-3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0</c:v>
                  </c:pt>
                  <c:pt idx="15">
                    <c:v>3.0999999999999999E-3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1.5E-3</c:v>
                  </c:pt>
                  <c:pt idx="22">
                    <c:v>4.0000000000000002E-4</c:v>
                  </c:pt>
                  <c:pt idx="23">
                    <c:v>2.0999999999999999E-3</c:v>
                  </c:pt>
                  <c:pt idx="24">
                    <c:v>1.1000000000000001E-3</c:v>
                  </c:pt>
                  <c:pt idx="25">
                    <c:v>1E-4</c:v>
                  </c:pt>
                  <c:pt idx="26">
                    <c:v>3.2000000000000002E-3</c:v>
                  </c:pt>
                  <c:pt idx="27">
                    <c:v>8.0000000000000004E-4</c:v>
                  </c:pt>
                  <c:pt idx="28">
                    <c:v>5.0000000000000001E-4</c:v>
                  </c:pt>
                  <c:pt idx="29">
                    <c:v>5.2999999999999998E-4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2.9999999999999997E-4</c:v>
                  </c:pt>
                  <c:pt idx="40">
                    <c:v>1.6000000000000001E-3</c:v>
                  </c:pt>
                  <c:pt idx="41">
                    <c:v>4.0000000000000002E-4</c:v>
                  </c:pt>
                  <c:pt idx="42">
                    <c:v>8.9999999999999998E-4</c:v>
                  </c:pt>
                  <c:pt idx="4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52.5</c:v>
                </c:pt>
                <c:pt idx="4">
                  <c:v>93</c:v>
                </c:pt>
                <c:pt idx="5">
                  <c:v>1290</c:v>
                </c:pt>
                <c:pt idx="6">
                  <c:v>1451</c:v>
                </c:pt>
                <c:pt idx="7">
                  <c:v>1528</c:v>
                </c:pt>
                <c:pt idx="8">
                  <c:v>1791</c:v>
                </c:pt>
                <c:pt idx="9">
                  <c:v>1825</c:v>
                </c:pt>
                <c:pt idx="10">
                  <c:v>2358</c:v>
                </c:pt>
                <c:pt idx="11">
                  <c:v>2667</c:v>
                </c:pt>
                <c:pt idx="12">
                  <c:v>2680.5</c:v>
                </c:pt>
                <c:pt idx="13">
                  <c:v>2681</c:v>
                </c:pt>
                <c:pt idx="14">
                  <c:v>3206</c:v>
                </c:pt>
                <c:pt idx="15">
                  <c:v>3267.5</c:v>
                </c:pt>
                <c:pt idx="16">
                  <c:v>3269</c:v>
                </c:pt>
                <c:pt idx="17">
                  <c:v>3503</c:v>
                </c:pt>
                <c:pt idx="18">
                  <c:v>3503</c:v>
                </c:pt>
                <c:pt idx="19">
                  <c:v>3503</c:v>
                </c:pt>
                <c:pt idx="20">
                  <c:v>3503</c:v>
                </c:pt>
                <c:pt idx="21">
                  <c:v>3534</c:v>
                </c:pt>
                <c:pt idx="22">
                  <c:v>3543</c:v>
                </c:pt>
                <c:pt idx="23">
                  <c:v>3777.5</c:v>
                </c:pt>
                <c:pt idx="24">
                  <c:v>3777.5</c:v>
                </c:pt>
                <c:pt idx="25">
                  <c:v>3814</c:v>
                </c:pt>
                <c:pt idx="26">
                  <c:v>3857</c:v>
                </c:pt>
                <c:pt idx="27">
                  <c:v>3862</c:v>
                </c:pt>
                <c:pt idx="28">
                  <c:v>4085.5</c:v>
                </c:pt>
                <c:pt idx="29">
                  <c:v>4085.5</c:v>
                </c:pt>
                <c:pt idx="30">
                  <c:v>4368</c:v>
                </c:pt>
                <c:pt idx="31">
                  <c:v>4368</c:v>
                </c:pt>
                <c:pt idx="32">
                  <c:v>4368</c:v>
                </c:pt>
                <c:pt idx="33">
                  <c:v>4368</c:v>
                </c:pt>
                <c:pt idx="34">
                  <c:v>4395</c:v>
                </c:pt>
                <c:pt idx="35">
                  <c:v>4741</c:v>
                </c:pt>
                <c:pt idx="36">
                  <c:v>4741</c:v>
                </c:pt>
                <c:pt idx="37">
                  <c:v>4741</c:v>
                </c:pt>
                <c:pt idx="38">
                  <c:v>4741</c:v>
                </c:pt>
                <c:pt idx="39">
                  <c:v>4966.5</c:v>
                </c:pt>
                <c:pt idx="40">
                  <c:v>4967</c:v>
                </c:pt>
                <c:pt idx="41">
                  <c:v>5482</c:v>
                </c:pt>
                <c:pt idx="42">
                  <c:v>5881.5</c:v>
                </c:pt>
                <c:pt idx="43">
                  <c:v>6696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3C-424E-8635-2BE87CB1B60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">
                    <c:v>5.0000000000000001E-4</c:v>
                  </c:pt>
                  <c:pt idx="3">
                    <c:v>1.0999999999999999E-2</c:v>
                  </c:pt>
                  <c:pt idx="5">
                    <c:v>2E-3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5.0000000000000001E-3</c:v>
                  </c:pt>
                  <c:pt idx="10">
                    <c:v>1.1000000000000001E-3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0</c:v>
                  </c:pt>
                  <c:pt idx="15">
                    <c:v>3.0999999999999999E-3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1.5E-3</c:v>
                  </c:pt>
                  <c:pt idx="22">
                    <c:v>4.0000000000000002E-4</c:v>
                  </c:pt>
                  <c:pt idx="23">
                    <c:v>2.0999999999999999E-3</c:v>
                  </c:pt>
                  <c:pt idx="24">
                    <c:v>1.1000000000000001E-3</c:v>
                  </c:pt>
                  <c:pt idx="25">
                    <c:v>1E-4</c:v>
                  </c:pt>
                  <c:pt idx="26">
                    <c:v>3.2000000000000002E-3</c:v>
                  </c:pt>
                  <c:pt idx="27">
                    <c:v>8.0000000000000004E-4</c:v>
                  </c:pt>
                  <c:pt idx="28">
                    <c:v>5.0000000000000001E-4</c:v>
                  </c:pt>
                  <c:pt idx="29">
                    <c:v>5.2999999999999998E-4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2.9999999999999997E-4</c:v>
                  </c:pt>
                  <c:pt idx="40">
                    <c:v>1.6000000000000001E-3</c:v>
                  </c:pt>
                  <c:pt idx="41">
                    <c:v>4.0000000000000002E-4</c:v>
                  </c:pt>
                  <c:pt idx="42">
                    <c:v>8.9999999999999998E-4</c:v>
                  </c:pt>
                  <c:pt idx="43">
                    <c:v>4.0000000000000002E-4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">
                    <c:v>5.0000000000000001E-4</c:v>
                  </c:pt>
                  <c:pt idx="3">
                    <c:v>1.0999999999999999E-2</c:v>
                  </c:pt>
                  <c:pt idx="5">
                    <c:v>2E-3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  <c:pt idx="9">
                    <c:v>5.0000000000000001E-3</c:v>
                  </c:pt>
                  <c:pt idx="10">
                    <c:v>1.1000000000000001E-3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1E-4</c:v>
                  </c:pt>
                  <c:pt idx="14">
                    <c:v>0</c:v>
                  </c:pt>
                  <c:pt idx="15">
                    <c:v>3.0999999999999999E-3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1.5E-3</c:v>
                  </c:pt>
                  <c:pt idx="22">
                    <c:v>4.0000000000000002E-4</c:v>
                  </c:pt>
                  <c:pt idx="23">
                    <c:v>2.0999999999999999E-3</c:v>
                  </c:pt>
                  <c:pt idx="24">
                    <c:v>1.1000000000000001E-3</c:v>
                  </c:pt>
                  <c:pt idx="25">
                    <c:v>1E-4</c:v>
                  </c:pt>
                  <c:pt idx="26">
                    <c:v>3.2000000000000002E-3</c:v>
                  </c:pt>
                  <c:pt idx="27">
                    <c:v>8.0000000000000004E-4</c:v>
                  </c:pt>
                  <c:pt idx="28">
                    <c:v>5.0000000000000001E-4</c:v>
                  </c:pt>
                  <c:pt idx="29">
                    <c:v>5.2999999999999998E-4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2.9999999999999997E-4</c:v>
                  </c:pt>
                  <c:pt idx="40">
                    <c:v>1.6000000000000001E-3</c:v>
                  </c:pt>
                  <c:pt idx="41">
                    <c:v>4.0000000000000002E-4</c:v>
                  </c:pt>
                  <c:pt idx="42">
                    <c:v>8.9999999999999998E-4</c:v>
                  </c:pt>
                  <c:pt idx="4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52.5</c:v>
                </c:pt>
                <c:pt idx="4">
                  <c:v>93</c:v>
                </c:pt>
                <c:pt idx="5">
                  <c:v>1290</c:v>
                </c:pt>
                <c:pt idx="6">
                  <c:v>1451</c:v>
                </c:pt>
                <c:pt idx="7">
                  <c:v>1528</c:v>
                </c:pt>
                <c:pt idx="8">
                  <c:v>1791</c:v>
                </c:pt>
                <c:pt idx="9">
                  <c:v>1825</c:v>
                </c:pt>
                <c:pt idx="10">
                  <c:v>2358</c:v>
                </c:pt>
                <c:pt idx="11">
                  <c:v>2667</c:v>
                </c:pt>
                <c:pt idx="12">
                  <c:v>2680.5</c:v>
                </c:pt>
                <c:pt idx="13">
                  <c:v>2681</c:v>
                </c:pt>
                <c:pt idx="14">
                  <c:v>3206</c:v>
                </c:pt>
                <c:pt idx="15">
                  <c:v>3267.5</c:v>
                </c:pt>
                <c:pt idx="16">
                  <c:v>3269</c:v>
                </c:pt>
                <c:pt idx="17">
                  <c:v>3503</c:v>
                </c:pt>
                <c:pt idx="18">
                  <c:v>3503</c:v>
                </c:pt>
                <c:pt idx="19">
                  <c:v>3503</c:v>
                </c:pt>
                <c:pt idx="20">
                  <c:v>3503</c:v>
                </c:pt>
                <c:pt idx="21">
                  <c:v>3534</c:v>
                </c:pt>
                <c:pt idx="22">
                  <c:v>3543</c:v>
                </c:pt>
                <c:pt idx="23">
                  <c:v>3777.5</c:v>
                </c:pt>
                <c:pt idx="24">
                  <c:v>3777.5</c:v>
                </c:pt>
                <c:pt idx="25">
                  <c:v>3814</c:v>
                </c:pt>
                <c:pt idx="26">
                  <c:v>3857</c:v>
                </c:pt>
                <c:pt idx="27">
                  <c:v>3862</c:v>
                </c:pt>
                <c:pt idx="28">
                  <c:v>4085.5</c:v>
                </c:pt>
                <c:pt idx="29">
                  <c:v>4085.5</c:v>
                </c:pt>
                <c:pt idx="30">
                  <c:v>4368</c:v>
                </c:pt>
                <c:pt idx="31">
                  <c:v>4368</c:v>
                </c:pt>
                <c:pt idx="32">
                  <c:v>4368</c:v>
                </c:pt>
                <c:pt idx="33">
                  <c:v>4368</c:v>
                </c:pt>
                <c:pt idx="34">
                  <c:v>4395</c:v>
                </c:pt>
                <c:pt idx="35">
                  <c:v>4741</c:v>
                </c:pt>
                <c:pt idx="36">
                  <c:v>4741</c:v>
                </c:pt>
                <c:pt idx="37">
                  <c:v>4741</c:v>
                </c:pt>
                <c:pt idx="38">
                  <c:v>4741</c:v>
                </c:pt>
                <c:pt idx="39">
                  <c:v>4966.5</c:v>
                </c:pt>
                <c:pt idx="40">
                  <c:v>4967</c:v>
                </c:pt>
                <c:pt idx="41">
                  <c:v>5482</c:v>
                </c:pt>
                <c:pt idx="42">
                  <c:v>5881.5</c:v>
                </c:pt>
                <c:pt idx="43">
                  <c:v>6696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3C-424E-8635-2BE87CB1B60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52.5</c:v>
                </c:pt>
                <c:pt idx="4">
                  <c:v>93</c:v>
                </c:pt>
                <c:pt idx="5">
                  <c:v>1290</c:v>
                </c:pt>
                <c:pt idx="6">
                  <c:v>1451</c:v>
                </c:pt>
                <c:pt idx="7">
                  <c:v>1528</c:v>
                </c:pt>
                <c:pt idx="8">
                  <c:v>1791</c:v>
                </c:pt>
                <c:pt idx="9">
                  <c:v>1825</c:v>
                </c:pt>
                <c:pt idx="10">
                  <c:v>2358</c:v>
                </c:pt>
                <c:pt idx="11">
                  <c:v>2667</c:v>
                </c:pt>
                <c:pt idx="12">
                  <c:v>2680.5</c:v>
                </c:pt>
                <c:pt idx="13">
                  <c:v>2681</c:v>
                </c:pt>
                <c:pt idx="14">
                  <c:v>3206</c:v>
                </c:pt>
                <c:pt idx="15">
                  <c:v>3267.5</c:v>
                </c:pt>
                <c:pt idx="16">
                  <c:v>3269</c:v>
                </c:pt>
                <c:pt idx="17">
                  <c:v>3503</c:v>
                </c:pt>
                <c:pt idx="18">
                  <c:v>3503</c:v>
                </c:pt>
                <c:pt idx="19">
                  <c:v>3503</c:v>
                </c:pt>
                <c:pt idx="20">
                  <c:v>3503</c:v>
                </c:pt>
                <c:pt idx="21">
                  <c:v>3534</c:v>
                </c:pt>
                <c:pt idx="22">
                  <c:v>3543</c:v>
                </c:pt>
                <c:pt idx="23">
                  <c:v>3777.5</c:v>
                </c:pt>
                <c:pt idx="24">
                  <c:v>3777.5</c:v>
                </c:pt>
                <c:pt idx="25">
                  <c:v>3814</c:v>
                </c:pt>
                <c:pt idx="26">
                  <c:v>3857</c:v>
                </c:pt>
                <c:pt idx="27">
                  <c:v>3862</c:v>
                </c:pt>
                <c:pt idx="28">
                  <c:v>4085.5</c:v>
                </c:pt>
                <c:pt idx="29">
                  <c:v>4085.5</c:v>
                </c:pt>
                <c:pt idx="30">
                  <c:v>4368</c:v>
                </c:pt>
                <c:pt idx="31">
                  <c:v>4368</c:v>
                </c:pt>
                <c:pt idx="32">
                  <c:v>4368</c:v>
                </c:pt>
                <c:pt idx="33">
                  <c:v>4368</c:v>
                </c:pt>
                <c:pt idx="34">
                  <c:v>4395</c:v>
                </c:pt>
                <c:pt idx="35">
                  <c:v>4741</c:v>
                </c:pt>
                <c:pt idx="36">
                  <c:v>4741</c:v>
                </c:pt>
                <c:pt idx="37">
                  <c:v>4741</c:v>
                </c:pt>
                <c:pt idx="38">
                  <c:v>4741</c:v>
                </c:pt>
                <c:pt idx="39">
                  <c:v>4966.5</c:v>
                </c:pt>
                <c:pt idx="40">
                  <c:v>4967</c:v>
                </c:pt>
                <c:pt idx="41">
                  <c:v>5482</c:v>
                </c:pt>
                <c:pt idx="42">
                  <c:v>5881.5</c:v>
                </c:pt>
                <c:pt idx="43">
                  <c:v>6696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11">
                  <c:v>9.1135198745900398E-3</c:v>
                </c:pt>
                <c:pt idx="13">
                  <c:v>8.8214625595430876E-3</c:v>
                </c:pt>
                <c:pt idx="14">
                  <c:v>-2.130686754717559E-3</c:v>
                </c:pt>
                <c:pt idx="15">
                  <c:v>-3.413652817245233E-3</c:v>
                </c:pt>
                <c:pt idx="16">
                  <c:v>-3.4449446724288402E-3</c:v>
                </c:pt>
                <c:pt idx="17">
                  <c:v>-8.32647408107072E-3</c:v>
                </c:pt>
                <c:pt idx="18">
                  <c:v>-8.32647408107072E-3</c:v>
                </c:pt>
                <c:pt idx="19">
                  <c:v>-8.32647408107072E-3</c:v>
                </c:pt>
                <c:pt idx="20">
                  <c:v>-8.32647408107072E-3</c:v>
                </c:pt>
                <c:pt idx="21">
                  <c:v>-8.9731724215318248E-3</c:v>
                </c:pt>
                <c:pt idx="22">
                  <c:v>-9.1609235526334404E-3</c:v>
                </c:pt>
                <c:pt idx="23">
                  <c:v>-1.4052883579669856E-2</c:v>
                </c:pt>
                <c:pt idx="24">
                  <c:v>-1.4052883579669856E-2</c:v>
                </c:pt>
                <c:pt idx="25">
                  <c:v>-1.481431872247084E-2</c:v>
                </c:pt>
                <c:pt idx="26">
                  <c:v>-1.5711351904400761E-2</c:v>
                </c:pt>
                <c:pt idx="27">
                  <c:v>-1.5815658088346091E-2</c:v>
                </c:pt>
                <c:pt idx="28">
                  <c:v>-2.0478144510702775E-2</c:v>
                </c:pt>
                <c:pt idx="29">
                  <c:v>-2.0478144510702775E-2</c:v>
                </c:pt>
                <c:pt idx="30">
                  <c:v>-2.6371443903614455E-2</c:v>
                </c:pt>
                <c:pt idx="31">
                  <c:v>-2.6371443903614455E-2</c:v>
                </c:pt>
                <c:pt idx="32">
                  <c:v>-2.6371443903614455E-2</c:v>
                </c:pt>
                <c:pt idx="33">
                  <c:v>-2.6371443903614455E-2</c:v>
                </c:pt>
                <c:pt idx="34">
                  <c:v>-2.6934697296919288E-2</c:v>
                </c:pt>
                <c:pt idx="35">
                  <c:v>-3.4152685225936771E-2</c:v>
                </c:pt>
                <c:pt idx="36">
                  <c:v>-3.4152685225936771E-2</c:v>
                </c:pt>
                <c:pt idx="37">
                  <c:v>-3.4152685225936771E-2</c:v>
                </c:pt>
                <c:pt idx="38">
                  <c:v>-3.4152685225936771E-2</c:v>
                </c:pt>
                <c:pt idx="39">
                  <c:v>-3.8856894121871585E-2</c:v>
                </c:pt>
                <c:pt idx="40">
                  <c:v>-3.8867324740266121E-2</c:v>
                </c:pt>
                <c:pt idx="41">
                  <c:v>-4.9610861686636087E-2</c:v>
                </c:pt>
                <c:pt idx="42">
                  <c:v>-5.7944925783868714E-2</c:v>
                </c:pt>
                <c:pt idx="43">
                  <c:v>-7.4936403148564507E-2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A3C-424E-8635-2BE87CB1B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203720"/>
        <c:axId val="1"/>
      </c:scatterChart>
      <c:valAx>
        <c:axId val="841203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24443098458851"/>
              <c:y val="0.866046230202533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28205128205128E-2"/>
              <c:y val="0.383178878341141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1203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916700316306615"/>
          <c:y val="0.91900605882208652"/>
          <c:w val="0.65064203513022412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2565-0667 - O-C Diagr.</a:t>
            </a:r>
          </a:p>
        </c:rich>
      </c:tx>
      <c:layout>
        <c:manualLayout>
          <c:xMode val="edge"/>
          <c:yMode val="edge"/>
          <c:x val="0.3306581059390048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64686998394862"/>
          <c:y val="0.15"/>
          <c:w val="0.8154093097913323"/>
          <c:h val="0.65312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52.5</c:v>
                </c:pt>
                <c:pt idx="4">
                  <c:v>93</c:v>
                </c:pt>
                <c:pt idx="5">
                  <c:v>1290</c:v>
                </c:pt>
                <c:pt idx="6">
                  <c:v>1451</c:v>
                </c:pt>
                <c:pt idx="7">
                  <c:v>1528</c:v>
                </c:pt>
                <c:pt idx="8">
                  <c:v>1791</c:v>
                </c:pt>
              </c:numCache>
            </c:numRef>
          </c:xVal>
          <c:yVal>
            <c:numRef>
              <c:f>'A (old)'!$H$21:$H$992</c:f>
              <c:numCache>
                <c:formatCode>General</c:formatCode>
                <c:ptCount val="972"/>
                <c:pt idx="0">
                  <c:v>0</c:v>
                </c:pt>
                <c:pt idx="2">
                  <c:v>6.429999993997626E-4</c:v>
                </c:pt>
                <c:pt idx="4">
                  <c:v>7.0429999977932312E-3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C5-4323-A84B-C6C6F59DFA7B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(old)'!$D$21:$D$992</c:f>
                <c:numCache>
                  <c:formatCode>General</c:formatCode>
                  <c:ptCount val="972"/>
                  <c:pt idx="1">
                    <c:v>5.0000000000000001E-4</c:v>
                  </c:pt>
                  <c:pt idx="3">
                    <c:v>1.0999999999999999E-2</c:v>
                  </c:pt>
                  <c:pt idx="5">
                    <c:v>2E-3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 (old)'!$D$21:$D$992</c:f>
                <c:numCache>
                  <c:formatCode>General</c:formatCode>
                  <c:ptCount val="972"/>
                  <c:pt idx="1">
                    <c:v>5.0000000000000001E-4</c:v>
                  </c:pt>
                  <c:pt idx="3">
                    <c:v>1.0999999999999999E-2</c:v>
                  </c:pt>
                  <c:pt idx="5">
                    <c:v>2E-3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52.5</c:v>
                </c:pt>
                <c:pt idx="4">
                  <c:v>93</c:v>
                </c:pt>
                <c:pt idx="5">
                  <c:v>1290</c:v>
                </c:pt>
                <c:pt idx="6">
                  <c:v>1451</c:v>
                </c:pt>
                <c:pt idx="7">
                  <c:v>1528</c:v>
                </c:pt>
                <c:pt idx="8">
                  <c:v>1791</c:v>
                </c:pt>
              </c:numCache>
            </c:numRef>
          </c:xVal>
          <c:yVal>
            <c:numRef>
              <c:f>'A (old)'!$I$21:$I$992</c:f>
              <c:numCache>
                <c:formatCode>General</c:formatCode>
                <c:ptCount val="972"/>
                <c:pt idx="1">
                  <c:v>1.4599999849451706E-4</c:v>
                </c:pt>
                <c:pt idx="3">
                  <c:v>2.2195999998075422E-2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C5-4323-A84B-C6C6F59DFA7B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Ray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(old)'!$D$21:$D$43</c:f>
                <c:numCache>
                  <c:formatCode>General</c:formatCode>
                  <c:ptCount val="23"/>
                  <c:pt idx="1">
                    <c:v>5.0000000000000001E-4</c:v>
                  </c:pt>
                  <c:pt idx="3">
                    <c:v>1.0999999999999999E-2</c:v>
                  </c:pt>
                  <c:pt idx="5">
                    <c:v>2E-3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 (old)'!$D$21:$D$43</c:f>
                <c:numCache>
                  <c:formatCode>General</c:formatCode>
                  <c:ptCount val="23"/>
                  <c:pt idx="1">
                    <c:v>5.0000000000000001E-4</c:v>
                  </c:pt>
                  <c:pt idx="3">
                    <c:v>1.0999999999999999E-2</c:v>
                  </c:pt>
                  <c:pt idx="5">
                    <c:v>2E-3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52.5</c:v>
                </c:pt>
                <c:pt idx="4">
                  <c:v>93</c:v>
                </c:pt>
                <c:pt idx="5">
                  <c:v>1290</c:v>
                </c:pt>
                <c:pt idx="6">
                  <c:v>1451</c:v>
                </c:pt>
                <c:pt idx="7">
                  <c:v>1528</c:v>
                </c:pt>
                <c:pt idx="8">
                  <c:v>1791</c:v>
                </c:pt>
              </c:numCache>
            </c:numRef>
          </c:xVal>
          <c:yVal>
            <c:numRef>
              <c:f>'A (old)'!$J$21:$J$992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C5-4323-A84B-C6C6F59DFA7B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(old)'!$D$21:$D$92</c:f>
                <c:numCache>
                  <c:formatCode>General</c:formatCode>
                  <c:ptCount val="72"/>
                  <c:pt idx="1">
                    <c:v>5.0000000000000001E-4</c:v>
                  </c:pt>
                  <c:pt idx="3">
                    <c:v>1.0999999999999999E-2</c:v>
                  </c:pt>
                  <c:pt idx="5">
                    <c:v>2E-3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 (old)'!$D$21:$D$92</c:f>
                <c:numCache>
                  <c:formatCode>General</c:formatCode>
                  <c:ptCount val="72"/>
                  <c:pt idx="1">
                    <c:v>5.0000000000000001E-4</c:v>
                  </c:pt>
                  <c:pt idx="3">
                    <c:v>1.0999999999999999E-2</c:v>
                  </c:pt>
                  <c:pt idx="5">
                    <c:v>2E-3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52.5</c:v>
                </c:pt>
                <c:pt idx="4">
                  <c:v>93</c:v>
                </c:pt>
                <c:pt idx="5">
                  <c:v>1290</c:v>
                </c:pt>
                <c:pt idx="6">
                  <c:v>1451</c:v>
                </c:pt>
                <c:pt idx="7">
                  <c:v>1528</c:v>
                </c:pt>
                <c:pt idx="8">
                  <c:v>1791</c:v>
                </c:pt>
              </c:numCache>
            </c:numRef>
          </c:xVal>
          <c:yVal>
            <c:numRef>
              <c:f>'A (old)'!$K$21:$K$992</c:f>
              <c:numCache>
                <c:formatCode>General</c:formatCode>
                <c:ptCount val="972"/>
                <c:pt idx="5">
                  <c:v>-9.6553999996103812E-2</c:v>
                </c:pt>
                <c:pt idx="6">
                  <c:v>-0.10955399999511428</c:v>
                </c:pt>
                <c:pt idx="7">
                  <c:v>-0.11595400000078371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C5-4323-A84B-C6C6F59DFA7B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(old)'!$D$21:$D$92</c:f>
                <c:numCache>
                  <c:formatCode>General</c:formatCode>
                  <c:ptCount val="72"/>
                  <c:pt idx="1">
                    <c:v>5.0000000000000001E-4</c:v>
                  </c:pt>
                  <c:pt idx="3">
                    <c:v>1.0999999999999999E-2</c:v>
                  </c:pt>
                  <c:pt idx="5">
                    <c:v>2E-3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 (old)'!$D$21:$D$92</c:f>
                <c:numCache>
                  <c:formatCode>General</c:formatCode>
                  <c:ptCount val="72"/>
                  <c:pt idx="1">
                    <c:v>5.0000000000000001E-4</c:v>
                  </c:pt>
                  <c:pt idx="3">
                    <c:v>1.0999999999999999E-2</c:v>
                  </c:pt>
                  <c:pt idx="5">
                    <c:v>2E-3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52.5</c:v>
                </c:pt>
                <c:pt idx="4">
                  <c:v>93</c:v>
                </c:pt>
                <c:pt idx="5">
                  <c:v>1290</c:v>
                </c:pt>
                <c:pt idx="6">
                  <c:v>1451</c:v>
                </c:pt>
                <c:pt idx="7">
                  <c:v>1528</c:v>
                </c:pt>
                <c:pt idx="8">
                  <c:v>1791</c:v>
                </c:pt>
              </c:numCache>
            </c:numRef>
          </c:xVal>
          <c:yVal>
            <c:numRef>
              <c:f>'A (old)'!$L$21:$L$992</c:f>
              <c:numCache>
                <c:formatCode>General</c:formatCode>
                <c:ptCount val="972"/>
                <c:pt idx="8">
                  <c:v>-0.13655400000425288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C5-4323-A84B-C6C6F59DFA7B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(old)'!$D$21:$D$92</c:f>
                <c:numCache>
                  <c:formatCode>General</c:formatCode>
                  <c:ptCount val="72"/>
                  <c:pt idx="1">
                    <c:v>5.0000000000000001E-4</c:v>
                  </c:pt>
                  <c:pt idx="3">
                    <c:v>1.0999999999999999E-2</c:v>
                  </c:pt>
                  <c:pt idx="5">
                    <c:v>2E-3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 (old)'!$D$21:$D$92</c:f>
                <c:numCache>
                  <c:formatCode>General</c:formatCode>
                  <c:ptCount val="72"/>
                  <c:pt idx="1">
                    <c:v>5.0000000000000001E-4</c:v>
                  </c:pt>
                  <c:pt idx="3">
                    <c:v>1.0999999999999999E-2</c:v>
                  </c:pt>
                  <c:pt idx="5">
                    <c:v>2E-3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52.5</c:v>
                </c:pt>
                <c:pt idx="4">
                  <c:v>93</c:v>
                </c:pt>
                <c:pt idx="5">
                  <c:v>1290</c:v>
                </c:pt>
                <c:pt idx="6">
                  <c:v>1451</c:v>
                </c:pt>
                <c:pt idx="7">
                  <c:v>1528</c:v>
                </c:pt>
                <c:pt idx="8">
                  <c:v>1791</c:v>
                </c:pt>
              </c:numCache>
            </c:numRef>
          </c:xVal>
          <c:yVal>
            <c:numRef>
              <c:f>'A (old)'!$M$21:$M$992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C5-4323-A84B-C6C6F59DFA7B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(old)'!$D$21:$D$92</c:f>
                <c:numCache>
                  <c:formatCode>General</c:formatCode>
                  <c:ptCount val="72"/>
                  <c:pt idx="1">
                    <c:v>5.0000000000000001E-4</c:v>
                  </c:pt>
                  <c:pt idx="3">
                    <c:v>1.0999999999999999E-2</c:v>
                  </c:pt>
                  <c:pt idx="5">
                    <c:v>2E-3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 (old)'!$D$21:$D$92</c:f>
                <c:numCache>
                  <c:formatCode>General</c:formatCode>
                  <c:ptCount val="72"/>
                  <c:pt idx="1">
                    <c:v>5.0000000000000001E-4</c:v>
                  </c:pt>
                  <c:pt idx="3">
                    <c:v>1.0999999999999999E-2</c:v>
                  </c:pt>
                  <c:pt idx="5">
                    <c:v>2E-3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52.5</c:v>
                </c:pt>
                <c:pt idx="4">
                  <c:v>93</c:v>
                </c:pt>
                <c:pt idx="5">
                  <c:v>1290</c:v>
                </c:pt>
                <c:pt idx="6">
                  <c:v>1451</c:v>
                </c:pt>
                <c:pt idx="7">
                  <c:v>1528</c:v>
                </c:pt>
                <c:pt idx="8">
                  <c:v>1791</c:v>
                </c:pt>
              </c:numCache>
            </c:numRef>
          </c:xVal>
          <c:yVal>
            <c:numRef>
              <c:f>'A (old)'!$N$21:$N$992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C5-4323-A84B-C6C6F59DFA7B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52.5</c:v>
                </c:pt>
                <c:pt idx="4">
                  <c:v>93</c:v>
                </c:pt>
                <c:pt idx="5">
                  <c:v>1290</c:v>
                </c:pt>
                <c:pt idx="6">
                  <c:v>1451</c:v>
                </c:pt>
                <c:pt idx="7">
                  <c:v>1528</c:v>
                </c:pt>
                <c:pt idx="8">
                  <c:v>1791</c:v>
                </c:pt>
              </c:numCache>
            </c:numRef>
          </c:xVal>
          <c:yVal>
            <c:numRef>
              <c:f>'A (old)'!$O$21:$O$992</c:f>
              <c:numCache>
                <c:formatCode>General</c:formatCode>
                <c:ptCount val="972"/>
                <c:pt idx="0">
                  <c:v>8.2050956633394137E-3</c:v>
                </c:pt>
                <c:pt idx="1">
                  <c:v>8.2050956633394137E-3</c:v>
                </c:pt>
                <c:pt idx="2">
                  <c:v>7.8814407082077303E-3</c:v>
                </c:pt>
                <c:pt idx="3">
                  <c:v>3.9571243772360733E-3</c:v>
                </c:pt>
                <c:pt idx="4">
                  <c:v>6.8011795652778324E-4</c:v>
                </c:pt>
                <c:pt idx="5">
                  <c:v>-9.6173627366628378E-2</c:v>
                </c:pt>
                <c:pt idx="6">
                  <c:v>-0.10920073931067861</c:v>
                </c:pt>
                <c:pt idx="7">
                  <c:v>-0.11543109719696351</c:v>
                </c:pt>
                <c:pt idx="8">
                  <c:v>-0.13671141049687169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C5-4323-A84B-C6C6F59DF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196504"/>
        <c:axId val="1"/>
      </c:scatterChart>
      <c:valAx>
        <c:axId val="841196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4847512038523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759229534510431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11965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6693418940609953"/>
          <c:y val="0.91874999999999996"/>
          <c:w val="0.942215088282504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15</xdr:col>
      <xdr:colOff>257175</xdr:colOff>
      <xdr:row>18</xdr:row>
      <xdr:rowOff>28575</xdr:rowOff>
    </xdr:to>
    <xdr:graphicFrame macro="">
      <xdr:nvGraphicFramePr>
        <xdr:cNvPr id="50179" name="Chart 2">
          <a:extLst>
            <a:ext uri="{FF2B5EF4-FFF2-40B4-BE49-F238E27FC236}">
              <a16:creationId xmlns:a16="http://schemas.microsoft.com/office/drawing/2014/main" id="{4808C309-57CD-75F9-C2C9-C1ABF4C08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14</xdr:col>
      <xdr:colOff>276225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7C3BFE8-08A1-4220-037E-48CF5B09D2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2.pdf" TargetMode="External"/><Relationship Id="rId13" Type="http://schemas.openxmlformats.org/officeDocument/2006/relationships/hyperlink" Target="http://www.konkoly.hu/cgi-bin/IBVS?6039" TargetMode="External"/><Relationship Id="rId18" Type="http://schemas.openxmlformats.org/officeDocument/2006/relationships/hyperlink" Target="http://www.konkoly.hu/cgi-bin/IBVS?6041" TargetMode="External"/><Relationship Id="rId3" Type="http://schemas.openxmlformats.org/officeDocument/2006/relationships/hyperlink" Target="http://www.konkoly.hu/cgi-bin/IBVS?5592" TargetMode="External"/><Relationship Id="rId21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bav-astro.de/sfs/BAVM_link.php?BAVMnr=186" TargetMode="External"/><Relationship Id="rId12" Type="http://schemas.openxmlformats.org/officeDocument/2006/relationships/hyperlink" Target="http://www.konkoly.hu/cgi-bin/IBVS?6039" TargetMode="External"/><Relationship Id="rId17" Type="http://schemas.openxmlformats.org/officeDocument/2006/relationships/hyperlink" Target="http://var.astro.cz/oejv/issues/oejv0160.pdf" TargetMode="External"/><Relationship Id="rId25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5592" TargetMode="External"/><Relationship Id="rId16" Type="http://schemas.openxmlformats.org/officeDocument/2006/relationships/hyperlink" Target="http://var.astro.cz/oejv/issues/oejv0160.pdf" TargetMode="External"/><Relationship Id="rId20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var.astro.cz/oejv/issues/oejv0003.pdf" TargetMode="External"/><Relationship Id="rId11" Type="http://schemas.openxmlformats.org/officeDocument/2006/relationships/hyperlink" Target="http://vsolj.cetus-net.org/vsoljno51.pdf" TargetMode="External"/><Relationship Id="rId24" Type="http://schemas.openxmlformats.org/officeDocument/2006/relationships/hyperlink" Target="http://www.konkoly.hu/cgi-bin/IBVS?6029" TargetMode="External"/><Relationship Id="rId5" Type="http://schemas.openxmlformats.org/officeDocument/2006/relationships/hyperlink" Target="http://www.konkoly.hu/cgi-bin/IBVS?5672" TargetMode="External"/><Relationship Id="rId15" Type="http://schemas.openxmlformats.org/officeDocument/2006/relationships/hyperlink" Target="http://var.astro.cz/oejv/issues/oejv0160.pdf" TargetMode="External"/><Relationship Id="rId23" Type="http://schemas.openxmlformats.org/officeDocument/2006/relationships/hyperlink" Target="http://www.bav-astro.de/sfs/BAVM_link.php?BAVMnr=231" TargetMode="External"/><Relationship Id="rId10" Type="http://schemas.openxmlformats.org/officeDocument/2006/relationships/hyperlink" Target="http://www.bav-astro.de/sfs/BAVM_link.php?BAVMnr=209" TargetMode="External"/><Relationship Id="rId19" Type="http://schemas.openxmlformats.org/officeDocument/2006/relationships/hyperlink" Target="http://www.konkoly.hu/cgi-bin/IBVS?5992" TargetMode="External"/><Relationship Id="rId4" Type="http://schemas.openxmlformats.org/officeDocument/2006/relationships/hyperlink" Target="http://www.konkoly.hu/cgi-bin/IBVS?5592" TargetMode="External"/><Relationship Id="rId9" Type="http://schemas.openxmlformats.org/officeDocument/2006/relationships/hyperlink" Target="http://www.konkoly.hu/cgi-bin/IBVS?5875" TargetMode="External"/><Relationship Id="rId14" Type="http://schemas.openxmlformats.org/officeDocument/2006/relationships/hyperlink" Target="http://var.astro.cz/oejv/issues/oejv0160.pdf" TargetMode="External"/><Relationship Id="rId22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4"/>
  <sheetViews>
    <sheetView tabSelected="1" workbookViewId="0">
      <pane xSplit="14" ySplit="22" topLeftCell="O56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42</v>
      </c>
      <c r="C1" s="1"/>
    </row>
    <row r="2" spans="1:7">
      <c r="A2" t="s">
        <v>25</v>
      </c>
      <c r="B2" t="s">
        <v>51</v>
      </c>
    </row>
    <row r="4" spans="1:7">
      <c r="A4" s="8" t="s">
        <v>1</v>
      </c>
      <c r="C4" s="11" t="s">
        <v>34</v>
      </c>
      <c r="D4" s="12" t="s">
        <v>34</v>
      </c>
    </row>
    <row r="6" spans="1:7">
      <c r="A6" s="8" t="s">
        <v>2</v>
      </c>
    </row>
    <row r="7" spans="1:7">
      <c r="A7" t="s">
        <v>3</v>
      </c>
      <c r="C7">
        <v>51221.849554</v>
      </c>
    </row>
    <row r="8" spans="1:7">
      <c r="A8" t="s">
        <v>4</v>
      </c>
      <c r="C8">
        <v>1.256819086261217</v>
      </c>
    </row>
    <row r="9" spans="1:7">
      <c r="A9" s="16" t="s">
        <v>44</v>
      </c>
      <c r="B9" s="17"/>
      <c r="C9" s="18">
        <v>-9.5</v>
      </c>
      <c r="D9" s="17" t="s">
        <v>45</v>
      </c>
      <c r="E9" s="17"/>
    </row>
    <row r="10" spans="1:7" ht="13.5" thickBot="1">
      <c r="A10" s="17"/>
      <c r="B10" s="17"/>
      <c r="C10" s="7" t="s">
        <v>20</v>
      </c>
      <c r="D10" s="7" t="s">
        <v>21</v>
      </c>
      <c r="E10" s="17"/>
    </row>
    <row r="11" spans="1:7">
      <c r="A11" s="17" t="s">
        <v>16</v>
      </c>
      <c r="B11" s="17"/>
      <c r="C11" s="29">
        <f ca="1">INTERCEPT(INDIRECT($G$11):G992,INDIRECT($F$11):F992)</f>
        <v>6.4750438391034115E-2</v>
      </c>
      <c r="D11" s="6"/>
      <c r="E11" s="17"/>
      <c r="F11" s="30" t="str">
        <f>"F"&amp;E19</f>
        <v>F39</v>
      </c>
      <c r="G11" s="31" t="str">
        <f>"G"&amp;E19</f>
        <v>G39</v>
      </c>
    </row>
    <row r="12" spans="1:7">
      <c r="A12" s="17" t="s">
        <v>17</v>
      </c>
      <c r="B12" s="17"/>
      <c r="C12" s="29">
        <f ca="1">SLOPE(INDIRECT($G$11):G992,INDIRECT($F$11):F992)</f>
        <v>-2.0861236789067895E-5</v>
      </c>
      <c r="D12" s="6"/>
      <c r="E12" s="17"/>
    </row>
    <row r="13" spans="1:7">
      <c r="A13" s="17" t="s">
        <v>19</v>
      </c>
      <c r="B13" s="17"/>
      <c r="C13" s="6" t="s">
        <v>14</v>
      </c>
      <c r="D13" s="21" t="s">
        <v>60</v>
      </c>
      <c r="E13" s="18">
        <v>1</v>
      </c>
    </row>
    <row r="14" spans="1:7">
      <c r="A14" s="17"/>
      <c r="B14" s="17"/>
      <c r="C14" s="17"/>
      <c r="D14" s="21" t="s">
        <v>46</v>
      </c>
      <c r="E14" s="22">
        <f ca="1">NOW()+15018.5+$C$9/24</f>
        <v>59946.801971064815</v>
      </c>
    </row>
    <row r="15" spans="1:7">
      <c r="A15" s="19" t="s">
        <v>18</v>
      </c>
      <c r="B15" s="17"/>
      <c r="C15" s="20">
        <f ca="1">(C7+C11)+(C8+C12)*INT(MAX(F21:F3533))</f>
        <v>59637.435219201958</v>
      </c>
      <c r="D15" s="21" t="s">
        <v>61</v>
      </c>
      <c r="E15" s="22">
        <f ca="1">ROUND(2*(E14-$C$7)/$C$8,0)/2+E13</f>
        <v>6943</v>
      </c>
    </row>
    <row r="16" spans="1:7">
      <c r="A16" s="23" t="s">
        <v>5</v>
      </c>
      <c r="B16" s="17"/>
      <c r="C16" s="24">
        <f ca="1">+C8+C12</f>
        <v>1.2567982250244278</v>
      </c>
      <c r="D16" s="21" t="s">
        <v>47</v>
      </c>
      <c r="E16" s="31">
        <f ca="1">ROUND(2*(E14-$C$15)/$C$16,0)/2+E13</f>
        <v>247</v>
      </c>
    </row>
    <row r="17" spans="1:17" ht="13.5" thickBot="1">
      <c r="A17" s="21" t="s">
        <v>48</v>
      </c>
      <c r="B17" s="17"/>
      <c r="C17" s="17">
        <f>COUNT(C21:C2191)</f>
        <v>44</v>
      </c>
      <c r="D17" s="21" t="s">
        <v>49</v>
      </c>
      <c r="E17" s="25">
        <f ca="1">+$C$15+$C$16*E16-15018.5-$C$9/24</f>
        <v>44929.76021411633</v>
      </c>
    </row>
    <row r="18" spans="1:17">
      <c r="A18" s="23" t="s">
        <v>6</v>
      </c>
      <c r="B18" s="17"/>
      <c r="C18" s="26">
        <f ca="1">+C15</f>
        <v>59637.435219201958</v>
      </c>
      <c r="D18" s="27">
        <f ca="1">+C16</f>
        <v>1.2567982250244278</v>
      </c>
      <c r="E18" s="28" t="s">
        <v>50</v>
      </c>
    </row>
    <row r="19" spans="1:17" ht="13.5" thickTop="1">
      <c r="A19" s="32" t="s">
        <v>52</v>
      </c>
      <c r="E19" s="33">
        <v>39</v>
      </c>
    </row>
    <row r="20" spans="1:17" ht="13.5" thickBot="1">
      <c r="A20" s="7" t="s">
        <v>7</v>
      </c>
      <c r="B20" s="7" t="s">
        <v>8</v>
      </c>
      <c r="C20" s="7" t="s">
        <v>9</v>
      </c>
      <c r="D20" s="7" t="s">
        <v>13</v>
      </c>
      <c r="E20" s="7" t="s">
        <v>10</v>
      </c>
      <c r="F20" s="7" t="s">
        <v>11</v>
      </c>
      <c r="G20" s="7" t="s">
        <v>12</v>
      </c>
      <c r="H20" s="10" t="s">
        <v>74</v>
      </c>
      <c r="I20" s="10" t="s">
        <v>77</v>
      </c>
      <c r="J20" s="10" t="s">
        <v>71</v>
      </c>
      <c r="K20" s="10" t="s">
        <v>69</v>
      </c>
      <c r="L20" s="10" t="s">
        <v>200</v>
      </c>
      <c r="M20" s="10" t="s">
        <v>201</v>
      </c>
      <c r="N20" s="10" t="s">
        <v>202</v>
      </c>
      <c r="O20" s="10" t="s">
        <v>23</v>
      </c>
      <c r="P20" s="9" t="s">
        <v>22</v>
      </c>
      <c r="Q20" s="7" t="s">
        <v>15</v>
      </c>
    </row>
    <row r="21" spans="1:17">
      <c r="A21" t="s">
        <v>28</v>
      </c>
      <c r="B21" s="6"/>
      <c r="C21" s="15">
        <v>51221.849554</v>
      </c>
      <c r="D21" s="15"/>
      <c r="E21">
        <f t="shared" ref="E21:E40" si="0">+(C21-C$7)/C$8</f>
        <v>0</v>
      </c>
      <c r="F21">
        <f t="shared" ref="F21:F40" si="1">ROUND(2*E21,0)/2</f>
        <v>0</v>
      </c>
      <c r="G21">
        <f t="shared" ref="G21:G40" si="2">+C21-(C$7+F21*C$8)</f>
        <v>0</v>
      </c>
      <c r="J21">
        <f>G21</f>
        <v>0</v>
      </c>
      <c r="Q21" s="2">
        <f t="shared" ref="Q21:Q40" si="3">+C21-15018.5</f>
        <v>36203.349554</v>
      </c>
    </row>
    <row r="22" spans="1:17">
      <c r="A22" t="s">
        <v>29</v>
      </c>
      <c r="B22" s="6" t="s">
        <v>30</v>
      </c>
      <c r="C22" s="15">
        <v>51221.849699999999</v>
      </c>
      <c r="D22" s="15">
        <v>5.0000000000000001E-4</v>
      </c>
      <c r="E22">
        <f t="shared" si="0"/>
        <v>1.1616628048579178E-4</v>
      </c>
      <c r="F22">
        <f t="shared" si="1"/>
        <v>0</v>
      </c>
      <c r="G22">
        <f t="shared" si="2"/>
        <v>1.4599999849451706E-4</v>
      </c>
      <c r="I22">
        <f>G22</f>
        <v>1.4599999849451706E-4</v>
      </c>
      <c r="Q22" s="2">
        <f t="shared" si="3"/>
        <v>36203.349699999999</v>
      </c>
    </row>
    <row r="23" spans="1:17">
      <c r="A23" t="s">
        <v>28</v>
      </c>
      <c r="B23" s="6"/>
      <c r="C23" s="15">
        <v>51226.877797000001</v>
      </c>
      <c r="D23" s="15"/>
      <c r="E23">
        <f t="shared" si="0"/>
        <v>4.0007691281635962</v>
      </c>
      <c r="F23">
        <f t="shared" si="1"/>
        <v>4</v>
      </c>
      <c r="G23">
        <f t="shared" si="2"/>
        <v>9.6665495220804587E-4</v>
      </c>
      <c r="J23">
        <f>G23</f>
        <v>9.6665495220804587E-4</v>
      </c>
      <c r="Q23" s="2">
        <f t="shared" si="3"/>
        <v>36208.377797000001</v>
      </c>
    </row>
    <row r="24" spans="1:17">
      <c r="A24" t="s">
        <v>29</v>
      </c>
      <c r="B24" s="6" t="s">
        <v>31</v>
      </c>
      <c r="C24" s="15">
        <v>51287.858999999997</v>
      </c>
      <c r="D24" s="15">
        <v>1.0999999999999999E-2</v>
      </c>
      <c r="E24">
        <f t="shared" si="0"/>
        <v>52.521040396005731</v>
      </c>
      <c r="F24">
        <f t="shared" si="1"/>
        <v>52.5</v>
      </c>
      <c r="G24">
        <f t="shared" si="2"/>
        <v>2.644397128460696E-2</v>
      </c>
      <c r="I24">
        <f>G24</f>
        <v>2.644397128460696E-2</v>
      </c>
      <c r="Q24" s="2">
        <f t="shared" si="3"/>
        <v>36269.358999999997</v>
      </c>
    </row>
    <row r="25" spans="1:17">
      <c r="A25" t="s">
        <v>28</v>
      </c>
      <c r="B25" s="6"/>
      <c r="C25" s="15">
        <v>51338.748296999998</v>
      </c>
      <c r="D25" s="15"/>
      <c r="E25">
        <f t="shared" si="0"/>
        <v>93.011591149326094</v>
      </c>
      <c r="F25">
        <f t="shared" si="1"/>
        <v>93</v>
      </c>
      <c r="G25">
        <f t="shared" si="2"/>
        <v>1.4567977705155499E-2</v>
      </c>
      <c r="J25">
        <f>G25</f>
        <v>1.4567977705155499E-2</v>
      </c>
      <c r="Q25" s="2">
        <f t="shared" si="3"/>
        <v>36320.248296999998</v>
      </c>
    </row>
    <row r="26" spans="1:17">
      <c r="A26" s="13" t="s">
        <v>40</v>
      </c>
      <c r="B26" s="6" t="s">
        <v>30</v>
      </c>
      <c r="C26" s="15">
        <v>52843.154000000002</v>
      </c>
      <c r="D26" s="15">
        <v>2E-3</v>
      </c>
      <c r="E26">
        <f t="shared" si="0"/>
        <v>1290.0062258149303</v>
      </c>
      <c r="F26">
        <f t="shared" si="1"/>
        <v>1290</v>
      </c>
      <c r="G26">
        <f t="shared" si="2"/>
        <v>7.8247230339911766E-3</v>
      </c>
      <c r="K26">
        <f>G26</f>
        <v>7.8247230339911766E-3</v>
      </c>
      <c r="Q26" s="2">
        <f t="shared" si="3"/>
        <v>37824.654000000002</v>
      </c>
    </row>
    <row r="27" spans="1:17">
      <c r="A27" s="34" t="s">
        <v>40</v>
      </c>
      <c r="B27" s="35" t="s">
        <v>30</v>
      </c>
      <c r="C27" s="14">
        <v>53045.501900000003</v>
      </c>
      <c r="D27" s="14">
        <v>1E-4</v>
      </c>
      <c r="E27">
        <f t="shared" si="0"/>
        <v>1451.0062473868059</v>
      </c>
      <c r="F27">
        <f t="shared" si="1"/>
        <v>1451</v>
      </c>
      <c r="G27">
        <f t="shared" si="2"/>
        <v>7.8518349764635786E-3</v>
      </c>
      <c r="K27">
        <f>G27</f>
        <v>7.8518349764635786E-3</v>
      </c>
      <c r="Q27" s="2">
        <f t="shared" si="3"/>
        <v>38027.001900000003</v>
      </c>
    </row>
    <row r="28" spans="1:17">
      <c r="A28" s="34" t="s">
        <v>40</v>
      </c>
      <c r="B28" s="35" t="s">
        <v>30</v>
      </c>
      <c r="C28" s="14">
        <v>53142.2768</v>
      </c>
      <c r="D28" s="14">
        <v>2.0000000000000001E-4</v>
      </c>
      <c r="E28">
        <f t="shared" si="0"/>
        <v>1528.00611240945</v>
      </c>
      <c r="F28">
        <f t="shared" si="1"/>
        <v>1528</v>
      </c>
      <c r="G28">
        <f t="shared" si="2"/>
        <v>7.6821928596473299E-3</v>
      </c>
      <c r="K28">
        <f>G28</f>
        <v>7.6821928596473299E-3</v>
      </c>
      <c r="Q28" s="2">
        <f t="shared" si="3"/>
        <v>38123.7768</v>
      </c>
    </row>
    <row r="29" spans="1:17">
      <c r="A29" s="36" t="s">
        <v>41</v>
      </c>
      <c r="B29" s="35"/>
      <c r="C29" s="14">
        <v>53472.820899999999</v>
      </c>
      <c r="D29" s="14">
        <v>2.9999999999999997E-4</v>
      </c>
      <c r="E29">
        <f t="shared" si="0"/>
        <v>1791.0066537071646</v>
      </c>
      <c r="F29">
        <f t="shared" si="1"/>
        <v>1791</v>
      </c>
      <c r="G29">
        <f t="shared" si="2"/>
        <v>8.362506159755867E-3</v>
      </c>
      <c r="K29">
        <f>G29</f>
        <v>8.362506159755867E-3</v>
      </c>
      <c r="M29" s="63"/>
      <c r="Q29" s="2">
        <f t="shared" si="3"/>
        <v>38454.320899999999</v>
      </c>
    </row>
    <row r="30" spans="1:17">
      <c r="A30" s="34" t="s">
        <v>54</v>
      </c>
      <c r="B30" s="37" t="s">
        <v>30</v>
      </c>
      <c r="C30" s="34">
        <v>53515.559000000001</v>
      </c>
      <c r="D30" s="34">
        <v>5.0000000000000001E-3</v>
      </c>
      <c r="E30">
        <f t="shared" si="0"/>
        <v>1825.0116274278769</v>
      </c>
      <c r="F30">
        <f t="shared" si="1"/>
        <v>1825</v>
      </c>
      <c r="G30">
        <f t="shared" si="2"/>
        <v>1.4613573279348202E-2</v>
      </c>
      <c r="I30">
        <f>G30</f>
        <v>1.4613573279348202E-2</v>
      </c>
      <c r="Q30" s="2">
        <f t="shared" si="3"/>
        <v>38497.059000000001</v>
      </c>
    </row>
    <row r="31" spans="1:17">
      <c r="A31" s="14" t="s">
        <v>43</v>
      </c>
      <c r="B31" s="38"/>
      <c r="C31" s="14">
        <v>54185.435100000002</v>
      </c>
      <c r="D31" s="14">
        <v>1.1000000000000001E-3</v>
      </c>
      <c r="E31">
        <f t="shared" si="0"/>
        <v>2358.0048858233613</v>
      </c>
      <c r="F31">
        <f t="shared" si="1"/>
        <v>2358</v>
      </c>
      <c r="G31">
        <f t="shared" si="2"/>
        <v>6.1405960514093749E-3</v>
      </c>
      <c r="J31">
        <f>G31</f>
        <v>6.1405960514093749E-3</v>
      </c>
      <c r="Q31" s="2">
        <f t="shared" si="3"/>
        <v>39166.935100000002</v>
      </c>
    </row>
    <row r="32" spans="1:17">
      <c r="A32" s="61" t="s">
        <v>203</v>
      </c>
      <c r="B32" s="62" t="s">
        <v>30</v>
      </c>
      <c r="C32" s="61">
        <v>54573.785000000003</v>
      </c>
      <c r="D32" s="61" t="s">
        <v>77</v>
      </c>
      <c r="E32" s="40">
        <f t="shared" si="0"/>
        <v>2666.9991589412716</v>
      </c>
      <c r="F32">
        <f t="shared" si="1"/>
        <v>2667</v>
      </c>
      <c r="G32">
        <f t="shared" si="2"/>
        <v>-1.0570586600806564E-3</v>
      </c>
      <c r="I32">
        <f>G32</f>
        <v>-1.0570586600806564E-3</v>
      </c>
      <c r="O32">
        <f ca="1">+C$11+C$12*$F32</f>
        <v>9.1135198745900398E-3</v>
      </c>
      <c r="Q32" s="2">
        <f t="shared" si="3"/>
        <v>39555.285000000003</v>
      </c>
    </row>
    <row r="33" spans="1:17">
      <c r="A33" s="39" t="s">
        <v>53</v>
      </c>
      <c r="B33" s="35"/>
      <c r="C33" s="14">
        <v>54590.759299999998</v>
      </c>
      <c r="D33" s="14">
        <v>2.9999999999999997E-4</v>
      </c>
      <c r="E33" s="40">
        <f t="shared" si="0"/>
        <v>2680.5049213740253</v>
      </c>
      <c r="F33">
        <f t="shared" si="1"/>
        <v>2680.5</v>
      </c>
      <c r="G33">
        <f t="shared" si="2"/>
        <v>6.1852768048993312E-3</v>
      </c>
      <c r="K33">
        <f>G33</f>
        <v>6.1852768048993312E-3</v>
      </c>
      <c r="M33" s="63"/>
      <c r="Q33" s="2">
        <f t="shared" si="3"/>
        <v>39572.259299999998</v>
      </c>
    </row>
    <row r="34" spans="1:17">
      <c r="A34" s="34" t="s">
        <v>55</v>
      </c>
      <c r="B34" s="37" t="s">
        <v>30</v>
      </c>
      <c r="C34" s="34">
        <v>54591.385199999997</v>
      </c>
      <c r="D34" s="34">
        <v>1E-4</v>
      </c>
      <c r="E34" s="40">
        <f t="shared" si="0"/>
        <v>2681.0029246322833</v>
      </c>
      <c r="F34">
        <f t="shared" si="1"/>
        <v>2681</v>
      </c>
      <c r="G34">
        <f t="shared" si="2"/>
        <v>3.675733671116177E-3</v>
      </c>
      <c r="J34">
        <f>G34</f>
        <v>3.675733671116177E-3</v>
      </c>
      <c r="O34">
        <f t="shared" ref="O34:O55" ca="1" si="4">+C$11+C$12*$F34</f>
        <v>8.8214625595430876E-3</v>
      </c>
      <c r="Q34" s="2">
        <f t="shared" si="3"/>
        <v>39572.885199999997</v>
      </c>
    </row>
    <row r="35" spans="1:17">
      <c r="A35" s="61" t="s">
        <v>134</v>
      </c>
      <c r="B35" s="62" t="s">
        <v>30</v>
      </c>
      <c r="C35" s="61">
        <v>55251.209600000002</v>
      </c>
      <c r="D35" s="61" t="s">
        <v>77</v>
      </c>
      <c r="E35" s="40">
        <f t="shared" si="0"/>
        <v>3205.9984527976371</v>
      </c>
      <c r="F35">
        <f t="shared" si="1"/>
        <v>3206</v>
      </c>
      <c r="G35">
        <f t="shared" si="2"/>
        <v>-1.9445534562692046E-3</v>
      </c>
      <c r="K35">
        <f t="shared" ref="K35:K40" si="5">G35</f>
        <v>-1.9445534562692046E-3</v>
      </c>
      <c r="O35">
        <f t="shared" ca="1" si="4"/>
        <v>-2.130686754717559E-3</v>
      </c>
      <c r="Q35" s="2">
        <f t="shared" si="3"/>
        <v>40232.709600000002</v>
      </c>
    </row>
    <row r="36" spans="1:17">
      <c r="A36" s="41" t="s">
        <v>58</v>
      </c>
      <c r="B36" s="38" t="s">
        <v>31</v>
      </c>
      <c r="C36" s="42">
        <v>55328.504500000003</v>
      </c>
      <c r="D36" s="42">
        <v>3.0999999999999999E-3</v>
      </c>
      <c r="E36" s="40">
        <f t="shared" si="0"/>
        <v>3267.4988714696174</v>
      </c>
      <c r="F36">
        <f t="shared" si="1"/>
        <v>3267.5</v>
      </c>
      <c r="G36">
        <f t="shared" si="2"/>
        <v>-1.4183585226419382E-3</v>
      </c>
      <c r="K36">
        <f t="shared" si="5"/>
        <v>-1.4183585226419382E-3</v>
      </c>
      <c r="O36">
        <f t="shared" ca="1" si="4"/>
        <v>-3.413652817245233E-3</v>
      </c>
      <c r="Q36" s="2">
        <f t="shared" si="3"/>
        <v>40310.004500000003</v>
      </c>
    </row>
    <row r="37" spans="1:17">
      <c r="A37" s="41" t="s">
        <v>58</v>
      </c>
      <c r="B37" s="38" t="s">
        <v>30</v>
      </c>
      <c r="C37" s="42">
        <v>55330.387799999997</v>
      </c>
      <c r="D37" s="42">
        <v>2.9999999999999997E-4</v>
      </c>
      <c r="E37" s="40">
        <f t="shared" si="0"/>
        <v>3268.9973369373856</v>
      </c>
      <c r="F37">
        <f t="shared" si="1"/>
        <v>3269</v>
      </c>
      <c r="G37">
        <f t="shared" si="2"/>
        <v>-3.3469879199401475E-3</v>
      </c>
      <c r="K37">
        <f t="shared" si="5"/>
        <v>-3.3469879199401475E-3</v>
      </c>
      <c r="O37">
        <f t="shared" ca="1" si="4"/>
        <v>-3.4449446724288402E-3</v>
      </c>
      <c r="Q37" s="2">
        <f t="shared" si="3"/>
        <v>40311.887799999997</v>
      </c>
    </row>
    <row r="38" spans="1:17">
      <c r="A38" s="43" t="s">
        <v>62</v>
      </c>
      <c r="B38" s="35" t="s">
        <v>30</v>
      </c>
      <c r="C38" s="14">
        <v>55624.478589999999</v>
      </c>
      <c r="D38" s="14">
        <v>1E-4</v>
      </c>
      <c r="E38" s="40">
        <f t="shared" si="0"/>
        <v>3502.9934571545464</v>
      </c>
      <c r="F38">
        <f t="shared" si="1"/>
        <v>3503</v>
      </c>
      <c r="G38">
        <f t="shared" si="2"/>
        <v>-8.22317304846365E-3</v>
      </c>
      <c r="K38">
        <f t="shared" si="5"/>
        <v>-8.22317304846365E-3</v>
      </c>
      <c r="O38">
        <f t="shared" ca="1" si="4"/>
        <v>-8.32647408107072E-3</v>
      </c>
      <c r="Q38" s="2">
        <f t="shared" si="3"/>
        <v>40605.978589999999</v>
      </c>
    </row>
    <row r="39" spans="1:17">
      <c r="A39" s="43" t="s">
        <v>62</v>
      </c>
      <c r="B39" s="35" t="s">
        <v>30</v>
      </c>
      <c r="C39" s="14">
        <v>55624.4787</v>
      </c>
      <c r="D39" s="14">
        <v>1E-4</v>
      </c>
      <c r="E39" s="40">
        <f t="shared" si="0"/>
        <v>3502.9935446770883</v>
      </c>
      <c r="F39">
        <f t="shared" si="1"/>
        <v>3503</v>
      </c>
      <c r="G39">
        <f t="shared" si="2"/>
        <v>-8.113173047604505E-3</v>
      </c>
      <c r="K39">
        <f t="shared" si="5"/>
        <v>-8.113173047604505E-3</v>
      </c>
      <c r="O39">
        <f t="shared" ca="1" si="4"/>
        <v>-8.32647408107072E-3</v>
      </c>
      <c r="Q39" s="2">
        <f t="shared" si="3"/>
        <v>40605.9787</v>
      </c>
    </row>
    <row r="40" spans="1:17">
      <c r="A40" s="43" t="s">
        <v>62</v>
      </c>
      <c r="B40" s="35" t="s">
        <v>30</v>
      </c>
      <c r="C40" s="14">
        <v>55624.478969999996</v>
      </c>
      <c r="D40" s="14">
        <v>1E-4</v>
      </c>
      <c r="E40" s="40">
        <f t="shared" si="0"/>
        <v>3502.9937595051406</v>
      </c>
      <c r="F40">
        <f t="shared" si="1"/>
        <v>3503</v>
      </c>
      <c r="G40">
        <f t="shared" si="2"/>
        <v>-7.8431730507872999E-3</v>
      </c>
      <c r="K40">
        <f t="shared" si="5"/>
        <v>-7.8431730507872999E-3</v>
      </c>
      <c r="O40">
        <f t="shared" ca="1" si="4"/>
        <v>-8.32647408107072E-3</v>
      </c>
      <c r="Q40" s="2">
        <f t="shared" si="3"/>
        <v>40605.978969999996</v>
      </c>
    </row>
    <row r="41" spans="1:17">
      <c r="A41" s="43" t="s">
        <v>62</v>
      </c>
      <c r="B41" s="35" t="s">
        <v>30</v>
      </c>
      <c r="C41" s="14">
        <v>55624.479189999998</v>
      </c>
      <c r="D41" s="14">
        <v>2.0000000000000001E-4</v>
      </c>
      <c r="E41" s="40">
        <f t="shared" ref="E41:E55" si="6">+(C41-C$7)/C$8</f>
        <v>3502.9939345502239</v>
      </c>
      <c r="F41">
        <f t="shared" ref="F41:F55" si="7">ROUND(2*E41,0)/2</f>
        <v>3503</v>
      </c>
      <c r="G41">
        <f>+C41-(C$7+F41*C$8)</f>
        <v>-7.6231730490690097E-3</v>
      </c>
      <c r="K41">
        <f>G41</f>
        <v>-7.6231730490690097E-3</v>
      </c>
      <c r="O41">
        <f t="shared" ca="1" si="4"/>
        <v>-8.32647408107072E-3</v>
      </c>
      <c r="Q41" s="2">
        <f t="shared" ref="Q41:Q55" si="8">+C41-15018.5</f>
        <v>40605.979189999998</v>
      </c>
    </row>
    <row r="42" spans="1:17">
      <c r="A42" s="14" t="s">
        <v>59</v>
      </c>
      <c r="B42" s="35" t="s">
        <v>30</v>
      </c>
      <c r="C42" s="14">
        <v>55663.440900000001</v>
      </c>
      <c r="D42" s="14">
        <v>1.5E-3</v>
      </c>
      <c r="E42" s="40">
        <f t="shared" si="6"/>
        <v>3533.9941878292434</v>
      </c>
      <c r="F42">
        <f t="shared" si="7"/>
        <v>3534</v>
      </c>
      <c r="G42">
        <f>+C42-(C$7+F42*C$8)</f>
        <v>-7.3048471385845914E-3</v>
      </c>
      <c r="K42">
        <f>G42</f>
        <v>-7.3048471385845914E-3</v>
      </c>
      <c r="O42">
        <f t="shared" ca="1" si="4"/>
        <v>-8.9731724215318248E-3</v>
      </c>
      <c r="Q42" s="2">
        <f t="shared" si="8"/>
        <v>40644.940900000001</v>
      </c>
    </row>
    <row r="43" spans="1:17">
      <c r="A43" s="34" t="s">
        <v>56</v>
      </c>
      <c r="B43" s="37" t="s">
        <v>30</v>
      </c>
      <c r="C43" s="34">
        <v>55674.751799999998</v>
      </c>
      <c r="D43" s="34">
        <v>4.0000000000000002E-4</v>
      </c>
      <c r="E43" s="40">
        <f t="shared" si="6"/>
        <v>3542.9938124559221</v>
      </c>
      <c r="F43">
        <f t="shared" si="7"/>
        <v>3543</v>
      </c>
      <c r="K43" s="31">
        <v>-7.7766234899172559E-3</v>
      </c>
      <c r="O43">
        <f t="shared" ca="1" si="4"/>
        <v>-9.1609235526334404E-3</v>
      </c>
      <c r="Q43" s="2">
        <f t="shared" si="8"/>
        <v>40656.251799999998</v>
      </c>
    </row>
    <row r="44" spans="1:17">
      <c r="A44" s="43" t="s">
        <v>62</v>
      </c>
      <c r="B44" s="35" t="s">
        <v>31</v>
      </c>
      <c r="C44" s="14">
        <v>55969.473449999998</v>
      </c>
      <c r="D44" s="14">
        <v>2.0999999999999999E-3</v>
      </c>
      <c r="E44" s="40">
        <f t="shared" si="6"/>
        <v>3777.4918824022793</v>
      </c>
      <c r="F44">
        <f t="shared" si="7"/>
        <v>3777.5</v>
      </c>
      <c r="G44">
        <f t="shared" ref="G44:G55" si="9">+C44-(C$7+F44*C$8)</f>
        <v>-1.0202351746556815E-2</v>
      </c>
      <c r="K44">
        <f>G44</f>
        <v>-1.0202351746556815E-2</v>
      </c>
      <c r="O44">
        <f t="shared" ca="1" si="4"/>
        <v>-1.4052883579669856E-2</v>
      </c>
      <c r="Q44" s="2">
        <f t="shared" si="8"/>
        <v>40950.973449999998</v>
      </c>
    </row>
    <row r="45" spans="1:17">
      <c r="A45" s="43" t="s">
        <v>62</v>
      </c>
      <c r="B45" s="35" t="s">
        <v>31</v>
      </c>
      <c r="C45" s="14">
        <v>55969.473579999998</v>
      </c>
      <c r="D45" s="14">
        <v>1.1000000000000001E-3</v>
      </c>
      <c r="E45" s="40">
        <f t="shared" si="6"/>
        <v>3777.4919858380099</v>
      </c>
      <c r="F45">
        <f t="shared" si="7"/>
        <v>3777.5</v>
      </c>
      <c r="G45">
        <f t="shared" si="9"/>
        <v>-1.0072351746202912E-2</v>
      </c>
      <c r="K45">
        <f>G45</f>
        <v>-1.0072351746202912E-2</v>
      </c>
      <c r="O45">
        <f t="shared" ca="1" si="4"/>
        <v>-1.4052883579669856E-2</v>
      </c>
      <c r="Q45" s="2">
        <f t="shared" si="8"/>
        <v>40950.973579999998</v>
      </c>
    </row>
    <row r="46" spans="1:17">
      <c r="A46" s="41" t="s">
        <v>64</v>
      </c>
      <c r="B46" s="38" t="s">
        <v>30</v>
      </c>
      <c r="C46" s="14">
        <v>56015.342100000002</v>
      </c>
      <c r="D46" s="42">
        <v>1E-4</v>
      </c>
      <c r="E46" s="40">
        <f t="shared" si="6"/>
        <v>3813.9877078567242</v>
      </c>
      <c r="F46">
        <f t="shared" si="7"/>
        <v>3814</v>
      </c>
      <c r="G46">
        <f t="shared" si="9"/>
        <v>-1.5449000282387715E-2</v>
      </c>
      <c r="J46">
        <f>G46</f>
        <v>-1.5449000282387715E-2</v>
      </c>
      <c r="O46">
        <f t="shared" ca="1" si="4"/>
        <v>-1.481431872247084E-2</v>
      </c>
      <c r="Q46" s="2">
        <f t="shared" si="8"/>
        <v>40996.842100000002</v>
      </c>
    </row>
    <row r="47" spans="1:17">
      <c r="A47" s="43" t="s">
        <v>63</v>
      </c>
      <c r="B47" s="35" t="s">
        <v>30</v>
      </c>
      <c r="C47" s="14">
        <v>56069.3845</v>
      </c>
      <c r="D47" s="14">
        <v>3.2000000000000002E-3</v>
      </c>
      <c r="E47" s="40">
        <f t="shared" si="6"/>
        <v>3856.9870548516551</v>
      </c>
      <c r="F47">
        <f t="shared" si="7"/>
        <v>3857</v>
      </c>
      <c r="G47">
        <f t="shared" si="9"/>
        <v>-1.6269709514745045E-2</v>
      </c>
      <c r="J47">
        <f>G47</f>
        <v>-1.6269709514745045E-2</v>
      </c>
      <c r="O47">
        <f t="shared" ca="1" si="4"/>
        <v>-1.5711351904400761E-2</v>
      </c>
      <c r="Q47" s="2">
        <f t="shared" si="8"/>
        <v>41050.8845</v>
      </c>
    </row>
    <row r="48" spans="1:17">
      <c r="A48" s="14" t="s">
        <v>57</v>
      </c>
      <c r="B48" s="35" t="s">
        <v>30</v>
      </c>
      <c r="C48" s="14">
        <v>56075.668100000003</v>
      </c>
      <c r="D48" s="14">
        <v>8.0000000000000004E-4</v>
      </c>
      <c r="E48" s="40">
        <f t="shared" si="6"/>
        <v>3861.9866606570499</v>
      </c>
      <c r="F48">
        <f t="shared" si="7"/>
        <v>3862</v>
      </c>
      <c r="G48">
        <f t="shared" si="9"/>
        <v>-1.6765140819188673E-2</v>
      </c>
      <c r="K48">
        <f t="shared" ref="K48:K55" si="10">G48</f>
        <v>-1.6765140819188673E-2</v>
      </c>
      <c r="O48">
        <f t="shared" ca="1" si="4"/>
        <v>-1.5815658088346091E-2</v>
      </c>
      <c r="Q48" s="2">
        <f t="shared" si="8"/>
        <v>41057.168100000003</v>
      </c>
    </row>
    <row r="49" spans="1:17">
      <c r="A49" s="43" t="s">
        <v>62</v>
      </c>
      <c r="B49" s="35" t="s">
        <v>31</v>
      </c>
      <c r="C49" s="14">
        <v>56356.557209999999</v>
      </c>
      <c r="D49" s="14">
        <v>5.0000000000000001E-4</v>
      </c>
      <c r="E49" s="40">
        <f t="shared" si="6"/>
        <v>4085.4787392469643</v>
      </c>
      <c r="F49">
        <f t="shared" si="7"/>
        <v>4085.5</v>
      </c>
      <c r="G49">
        <f t="shared" si="9"/>
        <v>-2.6720920199295506E-2</v>
      </c>
      <c r="K49">
        <f t="shared" si="10"/>
        <v>-2.6720920199295506E-2</v>
      </c>
      <c r="O49">
        <f t="shared" ca="1" si="4"/>
        <v>-2.0478144510702775E-2</v>
      </c>
      <c r="Q49" s="2">
        <f t="shared" si="8"/>
        <v>41338.057209999999</v>
      </c>
    </row>
    <row r="50" spans="1:17">
      <c r="A50" s="44" t="s">
        <v>65</v>
      </c>
      <c r="B50" s="45"/>
      <c r="C50" s="44">
        <v>56356.56349</v>
      </c>
      <c r="D50" s="44">
        <v>5.2999999999999998E-4</v>
      </c>
      <c r="E50" s="40">
        <f t="shared" si="6"/>
        <v>4085.4837359883968</v>
      </c>
      <c r="F50">
        <f t="shared" si="7"/>
        <v>4085.5</v>
      </c>
      <c r="G50">
        <f t="shared" si="9"/>
        <v>-2.0440920197870582E-2</v>
      </c>
      <c r="K50">
        <f t="shared" si="10"/>
        <v>-2.0440920197870582E-2</v>
      </c>
      <c r="O50">
        <f t="shared" ca="1" si="4"/>
        <v>-2.0478144510702775E-2</v>
      </c>
      <c r="Q50" s="2">
        <f t="shared" si="8"/>
        <v>41338.06349</v>
      </c>
    </row>
    <row r="51" spans="1:17">
      <c r="A51" s="44" t="s">
        <v>66</v>
      </c>
      <c r="B51" s="45" t="s">
        <v>30</v>
      </c>
      <c r="C51" s="46">
        <v>56711.608529999998</v>
      </c>
      <c r="D51" s="44">
        <v>2.9999999999999997E-4</v>
      </c>
      <c r="E51" s="40">
        <f t="shared" si="6"/>
        <v>4367.9786820638774</v>
      </c>
      <c r="F51">
        <f t="shared" si="7"/>
        <v>4368</v>
      </c>
      <c r="G51">
        <f t="shared" si="9"/>
        <v>-2.6792788994498551E-2</v>
      </c>
      <c r="K51">
        <f t="shared" si="10"/>
        <v>-2.6792788994498551E-2</v>
      </c>
      <c r="O51">
        <f t="shared" ca="1" si="4"/>
        <v>-2.6371443903614455E-2</v>
      </c>
      <c r="Q51" s="2">
        <f t="shared" si="8"/>
        <v>41693.108529999998</v>
      </c>
    </row>
    <row r="52" spans="1:17">
      <c r="A52" s="44" t="s">
        <v>66</v>
      </c>
      <c r="B52" s="45" t="s">
        <v>30</v>
      </c>
      <c r="C52" s="46">
        <v>56711.608749999999</v>
      </c>
      <c r="D52" s="44">
        <v>2.0000000000000001E-4</v>
      </c>
      <c r="E52" s="40">
        <f t="shared" si="6"/>
        <v>4367.9788571089612</v>
      </c>
      <c r="F52">
        <f t="shared" si="7"/>
        <v>4368</v>
      </c>
      <c r="G52">
        <f t="shared" si="9"/>
        <v>-2.6572788992780261E-2</v>
      </c>
      <c r="K52">
        <f t="shared" si="10"/>
        <v>-2.6572788992780261E-2</v>
      </c>
      <c r="O52">
        <f t="shared" ca="1" si="4"/>
        <v>-2.6371443903614455E-2</v>
      </c>
      <c r="Q52" s="2">
        <f t="shared" si="8"/>
        <v>41693.108749999999</v>
      </c>
    </row>
    <row r="53" spans="1:17">
      <c r="A53" s="44" t="s">
        <v>66</v>
      </c>
      <c r="B53" s="45" t="s">
        <v>30</v>
      </c>
      <c r="C53" s="46">
        <v>56711.608820000001</v>
      </c>
      <c r="D53" s="44">
        <v>2.9999999999999997E-4</v>
      </c>
      <c r="E53" s="40">
        <f t="shared" si="6"/>
        <v>4367.9789128051252</v>
      </c>
      <c r="F53">
        <f t="shared" si="7"/>
        <v>4368</v>
      </c>
      <c r="G53">
        <f t="shared" si="9"/>
        <v>-2.6502788990910631E-2</v>
      </c>
      <c r="K53">
        <f t="shared" si="10"/>
        <v>-2.6502788990910631E-2</v>
      </c>
      <c r="O53">
        <f t="shared" ca="1" si="4"/>
        <v>-2.6371443903614455E-2</v>
      </c>
      <c r="Q53" s="2">
        <f t="shared" si="8"/>
        <v>41693.108820000001</v>
      </c>
    </row>
    <row r="54" spans="1:17">
      <c r="A54" s="44" t="s">
        <v>66</v>
      </c>
      <c r="B54" s="45" t="s">
        <v>30</v>
      </c>
      <c r="C54" s="65">
        <v>56711.608890000003</v>
      </c>
      <c r="D54" s="66">
        <v>2.9999999999999997E-4</v>
      </c>
      <c r="E54" s="40">
        <f t="shared" si="6"/>
        <v>4367.9789685012884</v>
      </c>
      <c r="F54">
        <f t="shared" si="7"/>
        <v>4368</v>
      </c>
      <c r="G54">
        <f t="shared" si="9"/>
        <v>-2.6432788989041001E-2</v>
      </c>
      <c r="K54">
        <f t="shared" si="10"/>
        <v>-2.6432788989041001E-2</v>
      </c>
      <c r="O54">
        <f t="shared" ca="1" si="4"/>
        <v>-2.6371443903614455E-2</v>
      </c>
      <c r="Q54" s="2">
        <f t="shared" si="8"/>
        <v>41693.108890000003</v>
      </c>
    </row>
    <row r="55" spans="1:17">
      <c r="A55" s="44" t="s">
        <v>66</v>
      </c>
      <c r="B55" s="45" t="s">
        <v>30</v>
      </c>
      <c r="C55" s="46">
        <v>56745.54204</v>
      </c>
      <c r="D55" s="44">
        <v>1E-4</v>
      </c>
      <c r="E55" s="40">
        <f t="shared" si="6"/>
        <v>4394.9782004280905</v>
      </c>
      <c r="F55">
        <f t="shared" si="7"/>
        <v>4395</v>
      </c>
      <c r="G55">
        <f t="shared" si="9"/>
        <v>-2.7398118050768971E-2</v>
      </c>
      <c r="K55">
        <f t="shared" si="10"/>
        <v>-2.7398118050768971E-2</v>
      </c>
      <c r="O55">
        <f t="shared" ca="1" si="4"/>
        <v>-2.6934697296919288E-2</v>
      </c>
      <c r="Q55" s="2">
        <f t="shared" si="8"/>
        <v>41727.04204</v>
      </c>
    </row>
    <row r="56" spans="1:17">
      <c r="A56" s="70" t="s">
        <v>205</v>
      </c>
      <c r="B56" s="71" t="s">
        <v>30</v>
      </c>
      <c r="C56" s="72">
        <v>57180.394119999997</v>
      </c>
      <c r="D56" s="72">
        <v>1E-4</v>
      </c>
      <c r="E56" s="40">
        <f t="shared" ref="E56:E63" si="11">+(C56-C$7)/C$8</f>
        <v>4740.9723731404047</v>
      </c>
      <c r="F56">
        <f t="shared" ref="F56:F63" si="12">ROUND(2*E56,0)/2</f>
        <v>4741</v>
      </c>
      <c r="G56">
        <f t="shared" ref="G56:G63" si="13">+C56-(C$7+F56*C$8)</f>
        <v>-3.4721964431810193E-2</v>
      </c>
      <c r="K56">
        <f t="shared" ref="K56:K63" si="14">G56</f>
        <v>-3.4721964431810193E-2</v>
      </c>
      <c r="O56">
        <f t="shared" ref="O56:O63" ca="1" si="15">+C$11+C$12*$F56</f>
        <v>-3.4152685225936771E-2</v>
      </c>
      <c r="Q56" s="2">
        <f t="shared" ref="Q56:Q63" si="16">+C56-15018.5</f>
        <v>42161.894119999997</v>
      </c>
    </row>
    <row r="57" spans="1:17">
      <c r="A57" s="70" t="s">
        <v>205</v>
      </c>
      <c r="B57" s="71" t="s">
        <v>30</v>
      </c>
      <c r="C57" s="72">
        <v>57180.394130000001</v>
      </c>
      <c r="D57" s="72">
        <v>2.0000000000000001E-4</v>
      </c>
      <c r="E57" s="40">
        <f t="shared" si="11"/>
        <v>4740.9723810970017</v>
      </c>
      <c r="F57">
        <f t="shared" si="12"/>
        <v>4741</v>
      </c>
      <c r="G57">
        <f t="shared" si="13"/>
        <v>-3.4711964428424835E-2</v>
      </c>
      <c r="K57">
        <f t="shared" si="14"/>
        <v>-3.4711964428424835E-2</v>
      </c>
      <c r="O57">
        <f t="shared" ca="1" si="15"/>
        <v>-3.4152685225936771E-2</v>
      </c>
      <c r="Q57" s="2">
        <f t="shared" si="16"/>
        <v>42161.894130000001</v>
      </c>
    </row>
    <row r="58" spans="1:17">
      <c r="A58" s="70" t="s">
        <v>205</v>
      </c>
      <c r="B58" s="71" t="s">
        <v>30</v>
      </c>
      <c r="C58" s="72">
        <v>57180.3943</v>
      </c>
      <c r="D58" s="72">
        <v>2.0000000000000001E-4</v>
      </c>
      <c r="E58" s="40">
        <f t="shared" si="11"/>
        <v>4740.9725163591102</v>
      </c>
      <c r="F58">
        <f t="shared" si="12"/>
        <v>4741</v>
      </c>
      <c r="G58">
        <f t="shared" si="13"/>
        <v>-3.4541964429081418E-2</v>
      </c>
      <c r="K58">
        <f t="shared" si="14"/>
        <v>-3.4541964429081418E-2</v>
      </c>
      <c r="O58">
        <f t="shared" ca="1" si="15"/>
        <v>-3.4152685225936771E-2</v>
      </c>
      <c r="Q58" s="2">
        <f t="shared" si="16"/>
        <v>42161.8943</v>
      </c>
    </row>
    <row r="59" spans="1:17">
      <c r="A59" s="70" t="s">
        <v>205</v>
      </c>
      <c r="B59" s="71" t="s">
        <v>30</v>
      </c>
      <c r="C59" s="72">
        <v>57180.394719999997</v>
      </c>
      <c r="D59" s="72">
        <v>2.0000000000000001E-4</v>
      </c>
      <c r="E59" s="40">
        <f t="shared" si="11"/>
        <v>4740.9728505360827</v>
      </c>
      <c r="F59">
        <f t="shared" si="12"/>
        <v>4741</v>
      </c>
      <c r="G59">
        <f t="shared" si="13"/>
        <v>-3.4121964432415552E-2</v>
      </c>
      <c r="K59">
        <f t="shared" si="14"/>
        <v>-3.4121964432415552E-2</v>
      </c>
      <c r="O59">
        <f t="shared" ca="1" si="15"/>
        <v>-3.4152685225936771E-2</v>
      </c>
      <c r="Q59" s="2">
        <f t="shared" si="16"/>
        <v>42161.894719999997</v>
      </c>
    </row>
    <row r="60" spans="1:17">
      <c r="A60" s="47" t="s">
        <v>204</v>
      </c>
      <c r="C60" s="64">
        <v>57463.802100000001</v>
      </c>
      <c r="D60" s="64">
        <v>2.9999999999999997E-4</v>
      </c>
      <c r="E60" s="40">
        <f t="shared" si="11"/>
        <v>4966.4686144833695</v>
      </c>
      <c r="F60">
        <f t="shared" si="12"/>
        <v>4966.5</v>
      </c>
      <c r="G60">
        <f t="shared" si="13"/>
        <v>-3.9445916336262599E-2</v>
      </c>
      <c r="K60">
        <f t="shared" si="14"/>
        <v>-3.9445916336262599E-2</v>
      </c>
      <c r="O60">
        <f t="shared" ca="1" si="15"/>
        <v>-3.8856894121871585E-2</v>
      </c>
      <c r="Q60" s="2">
        <f t="shared" si="16"/>
        <v>42445.302100000001</v>
      </c>
    </row>
    <row r="61" spans="1:17">
      <c r="A61" s="67" t="s">
        <v>0</v>
      </c>
      <c r="B61" s="68" t="s">
        <v>30</v>
      </c>
      <c r="C61" s="69">
        <v>57464.429600000003</v>
      </c>
      <c r="D61" s="69">
        <v>1.6000000000000001E-3</v>
      </c>
      <c r="E61" s="40">
        <f t="shared" si="11"/>
        <v>4966.9678907967718</v>
      </c>
      <c r="F61">
        <f t="shared" si="12"/>
        <v>4967</v>
      </c>
      <c r="G61">
        <f t="shared" si="13"/>
        <v>-4.0355459459533449E-2</v>
      </c>
      <c r="K61">
        <f t="shared" si="14"/>
        <v>-4.0355459459533449E-2</v>
      </c>
      <c r="O61">
        <f t="shared" ca="1" si="15"/>
        <v>-3.8867324740266121E-2</v>
      </c>
      <c r="Q61" s="2">
        <f t="shared" si="16"/>
        <v>42445.929600000003</v>
      </c>
    </row>
    <row r="62" spans="1:17">
      <c r="A62" s="73" t="s">
        <v>207</v>
      </c>
      <c r="B62" s="74" t="s">
        <v>30</v>
      </c>
      <c r="C62" s="75">
        <v>58111.679049999919</v>
      </c>
      <c r="D62" s="75">
        <v>4.0000000000000002E-4</v>
      </c>
      <c r="E62" s="40">
        <f t="shared" si="11"/>
        <v>5481.9580409904265</v>
      </c>
      <c r="F62">
        <f t="shared" si="12"/>
        <v>5482</v>
      </c>
      <c r="G62">
        <f t="shared" si="13"/>
        <v>-5.2734884069650434E-2</v>
      </c>
      <c r="K62">
        <f t="shared" si="14"/>
        <v>-5.2734884069650434E-2</v>
      </c>
      <c r="O62">
        <f t="shared" ca="1" si="15"/>
        <v>-4.9610861686636087E-2</v>
      </c>
      <c r="Q62" s="2">
        <f t="shared" si="16"/>
        <v>43093.179049999919</v>
      </c>
    </row>
    <row r="63" spans="1:17">
      <c r="A63" s="23" t="s">
        <v>206</v>
      </c>
      <c r="C63" s="15">
        <v>58613.776700000002</v>
      </c>
      <c r="D63" s="15">
        <v>8.9999999999999998E-4</v>
      </c>
      <c r="E63" s="40">
        <f t="shared" si="11"/>
        <v>5881.4567878575845</v>
      </c>
      <c r="F63">
        <f t="shared" si="12"/>
        <v>5881.5</v>
      </c>
      <c r="G63">
        <f t="shared" si="13"/>
        <v>-5.4309845349052921E-2</v>
      </c>
      <c r="K63">
        <f t="shared" si="14"/>
        <v>-5.4309845349052921E-2</v>
      </c>
      <c r="O63">
        <f t="shared" ca="1" si="15"/>
        <v>-5.7944925783868714E-2</v>
      </c>
      <c r="Q63" s="2">
        <f t="shared" si="16"/>
        <v>43595.276700000002</v>
      </c>
    </row>
    <row r="64" spans="1:17">
      <c r="A64" s="76" t="s">
        <v>208</v>
      </c>
      <c r="B64" s="77" t="s">
        <v>31</v>
      </c>
      <c r="C64" s="78">
        <v>59637.436999999998</v>
      </c>
      <c r="D64" s="76">
        <v>4.0000000000000002E-4</v>
      </c>
      <c r="E64" s="40">
        <f t="shared" ref="E64" si="17">+(C64-C$7)/C$8</f>
        <v>6695.9417930504787</v>
      </c>
      <c r="F64">
        <f t="shared" ref="F64" si="18">ROUND(2*E64,0)/2</f>
        <v>6696</v>
      </c>
      <c r="G64">
        <f t="shared" ref="G64" si="19">+C64-(C$7+F64*C$8)</f>
        <v>-7.3155605110514443E-2</v>
      </c>
      <c r="K64">
        <f t="shared" ref="K64" si="20">G64</f>
        <v>-7.3155605110514443E-2</v>
      </c>
      <c r="O64">
        <f t="shared" ref="O64" ca="1" si="21">+C$11+C$12*$F64</f>
        <v>-7.4936403148564507E-2</v>
      </c>
      <c r="Q64" s="2">
        <f t="shared" ref="Q64" si="22">+C64-15018.5</f>
        <v>44618.936999999998</v>
      </c>
    </row>
  </sheetData>
  <protectedRanges>
    <protectedRange sqref="A63:D63" name="Range1"/>
  </protectedRanges>
  <phoneticPr fontId="8" type="noConversion"/>
  <hyperlinks>
    <hyperlink ref="H2948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5"/>
  <sheetViews>
    <sheetView workbookViewId="0">
      <selection activeCell="B1" sqref="B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37</v>
      </c>
      <c r="C1" s="1" t="s">
        <v>36</v>
      </c>
    </row>
    <row r="2" spans="1:4">
      <c r="A2" t="s">
        <v>25</v>
      </c>
    </row>
    <row r="4" spans="1:4">
      <c r="A4" s="8" t="s">
        <v>1</v>
      </c>
      <c r="C4" s="11" t="s">
        <v>34</v>
      </c>
      <c r="D4" s="12" t="s">
        <v>34</v>
      </c>
    </row>
    <row r="6" spans="1:4">
      <c r="A6" s="8" t="s">
        <v>2</v>
      </c>
    </row>
    <row r="7" spans="1:4">
      <c r="A7" t="s">
        <v>3</v>
      </c>
      <c r="C7">
        <v>51221.849554</v>
      </c>
    </row>
    <row r="8" spans="1:4">
      <c r="A8" t="s">
        <v>4</v>
      </c>
      <c r="C8">
        <v>1.2568999999999999</v>
      </c>
    </row>
    <row r="10" spans="1:4" ht="13.5" thickBot="1">
      <c r="C10" s="7" t="s">
        <v>20</v>
      </c>
      <c r="D10" s="7" t="s">
        <v>21</v>
      </c>
    </row>
    <row r="11" spans="1:4">
      <c r="A11" t="s">
        <v>16</v>
      </c>
      <c r="C11">
        <f>INTERCEPT(G21:G992,$F21:$F992)</f>
        <v>8.2050956633394137E-3</v>
      </c>
      <c r="D11" s="6"/>
    </row>
    <row r="12" spans="1:4">
      <c r="A12" t="s">
        <v>17</v>
      </c>
      <c r="C12">
        <f>SLOPE(G21:G992,$F21:$F992)</f>
        <v>-8.0913738782920761E-5</v>
      </c>
      <c r="D12" s="6"/>
    </row>
    <row r="13" spans="1:4">
      <c r="A13" t="s">
        <v>19</v>
      </c>
      <c r="C13" s="6" t="s">
        <v>14</v>
      </c>
      <c r="D13" s="6"/>
    </row>
    <row r="14" spans="1:4">
      <c r="A14" t="s">
        <v>24</v>
      </c>
    </row>
    <row r="15" spans="1:4">
      <c r="A15" s="3" t="s">
        <v>18</v>
      </c>
      <c r="C15">
        <v>53472.820899999999</v>
      </c>
    </row>
    <row r="16" spans="1:4">
      <c r="A16" s="8" t="s">
        <v>5</v>
      </c>
      <c r="C16">
        <f>+$C8+C12</f>
        <v>1.256819086261217</v>
      </c>
    </row>
    <row r="17" spans="1:17" ht="13.5" thickBot="1"/>
    <row r="18" spans="1:17">
      <c r="A18" s="8" t="s">
        <v>6</v>
      </c>
      <c r="C18" s="4">
        <f>+C15</f>
        <v>53472.820899999999</v>
      </c>
      <c r="D18" s="5">
        <f>+C16</f>
        <v>1.256819086261217</v>
      </c>
    </row>
    <row r="19" spans="1:17" ht="13.5" thickTop="1"/>
    <row r="20" spans="1:17" ht="13.5" thickBot="1">
      <c r="A20" s="7" t="s">
        <v>7</v>
      </c>
      <c r="B20" s="7" t="s">
        <v>8</v>
      </c>
      <c r="C20" s="7" t="s">
        <v>9</v>
      </c>
      <c r="D20" s="7" t="s">
        <v>13</v>
      </c>
      <c r="E20" s="7" t="s">
        <v>10</v>
      </c>
      <c r="F20" s="7" t="s">
        <v>11</v>
      </c>
      <c r="G20" s="7" t="s">
        <v>12</v>
      </c>
      <c r="H20" s="10" t="s">
        <v>28</v>
      </c>
      <c r="I20" s="10" t="s">
        <v>35</v>
      </c>
      <c r="J20" s="10" t="s">
        <v>32</v>
      </c>
      <c r="K20" s="10" t="s">
        <v>33</v>
      </c>
      <c r="L20" s="10" t="s">
        <v>39</v>
      </c>
      <c r="M20" s="10" t="s">
        <v>26</v>
      </c>
      <c r="N20" s="10" t="s">
        <v>27</v>
      </c>
      <c r="O20" s="10" t="s">
        <v>23</v>
      </c>
      <c r="P20" s="9" t="s">
        <v>22</v>
      </c>
      <c r="Q20" s="7" t="s">
        <v>15</v>
      </c>
    </row>
    <row r="21" spans="1:17">
      <c r="A21" t="s">
        <v>28</v>
      </c>
      <c r="C21">
        <v>51221.849554</v>
      </c>
      <c r="D21" s="6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>+C$11+C$12*$F21</f>
        <v>8.2050956633394137E-3</v>
      </c>
      <c r="Q21" s="2">
        <f>+C21-15018.5</f>
        <v>36203.349554</v>
      </c>
    </row>
    <row r="22" spans="1:17">
      <c r="A22" t="s">
        <v>29</v>
      </c>
      <c r="B22" t="s">
        <v>30</v>
      </c>
      <c r="C22">
        <v>51221.849699999999</v>
      </c>
      <c r="D22" s="6">
        <v>5.0000000000000001E-4</v>
      </c>
      <c r="E22">
        <f t="shared" ref="E22:E29" si="0">+(C22-C$7)/C$8</f>
        <v>1.1615880220742865E-4</v>
      </c>
      <c r="F22">
        <f t="shared" ref="F22:F29" si="1">ROUND(2*E22,0)/2</f>
        <v>0</v>
      </c>
      <c r="G22">
        <f t="shared" ref="G22:G29" si="2">+C22-(C$7+F22*C$8)</f>
        <v>1.4599999849451706E-4</v>
      </c>
      <c r="I22">
        <f>G22</f>
        <v>1.4599999849451706E-4</v>
      </c>
      <c r="O22">
        <f t="shared" ref="O22:O28" si="3">+C$11+C$12*$F22</f>
        <v>8.2050956633394137E-3</v>
      </c>
      <c r="Q22" s="2">
        <f t="shared" ref="Q22:Q28" si="4">+C22-15018.5</f>
        <v>36203.349699999999</v>
      </c>
    </row>
    <row r="23" spans="1:17">
      <c r="A23" t="s">
        <v>28</v>
      </c>
      <c r="C23">
        <v>51226.877797000001</v>
      </c>
      <c r="D23" s="6"/>
      <c r="E23">
        <f t="shared" si="0"/>
        <v>4.0005115761004513</v>
      </c>
      <c r="F23">
        <f t="shared" si="1"/>
        <v>4</v>
      </c>
      <c r="G23">
        <f t="shared" si="2"/>
        <v>6.429999993997626E-4</v>
      </c>
      <c r="H23">
        <f>G23</f>
        <v>6.429999993997626E-4</v>
      </c>
      <c r="O23">
        <f t="shared" si="3"/>
        <v>7.8814407082077303E-3</v>
      </c>
      <c r="Q23" s="2">
        <f t="shared" si="4"/>
        <v>36208.377797000001</v>
      </c>
    </row>
    <row r="24" spans="1:17">
      <c r="A24" t="s">
        <v>29</v>
      </c>
      <c r="B24" t="s">
        <v>31</v>
      </c>
      <c r="C24">
        <v>51287.858999999997</v>
      </c>
      <c r="D24" s="6">
        <v>1.0999999999999999E-2</v>
      </c>
      <c r="E24">
        <f t="shared" si="0"/>
        <v>52.517659320547693</v>
      </c>
      <c r="F24">
        <f t="shared" si="1"/>
        <v>52.5</v>
      </c>
      <c r="G24">
        <f t="shared" si="2"/>
        <v>2.2195999998075422E-2</v>
      </c>
      <c r="I24">
        <f>G24</f>
        <v>2.2195999998075422E-2</v>
      </c>
      <c r="O24">
        <f t="shared" si="3"/>
        <v>3.9571243772360733E-3</v>
      </c>
      <c r="Q24" s="2">
        <f t="shared" si="4"/>
        <v>36269.358999999997</v>
      </c>
    </row>
    <row r="25" spans="1:17">
      <c r="A25" t="s">
        <v>28</v>
      </c>
      <c r="C25">
        <v>51338.748296999998</v>
      </c>
      <c r="D25" s="6"/>
      <c r="E25">
        <f t="shared" si="0"/>
        <v>93.005603468850296</v>
      </c>
      <c r="F25">
        <f t="shared" si="1"/>
        <v>93</v>
      </c>
      <c r="G25">
        <f t="shared" si="2"/>
        <v>7.0429999977932312E-3</v>
      </c>
      <c r="H25">
        <f>G25</f>
        <v>7.0429999977932312E-3</v>
      </c>
      <c r="O25">
        <f t="shared" si="3"/>
        <v>6.8011795652778324E-4</v>
      </c>
      <c r="Q25" s="2">
        <f t="shared" si="4"/>
        <v>36320.248296999998</v>
      </c>
    </row>
    <row r="26" spans="1:17">
      <c r="A26" t="s">
        <v>33</v>
      </c>
      <c r="B26" t="s">
        <v>30</v>
      </c>
      <c r="C26">
        <v>52843.154000000002</v>
      </c>
      <c r="D26" s="6">
        <v>2E-3</v>
      </c>
      <c r="E26">
        <f t="shared" si="0"/>
        <v>1289.9231808417551</v>
      </c>
      <c r="F26">
        <f t="shared" si="1"/>
        <v>1290</v>
      </c>
      <c r="G26">
        <f t="shared" si="2"/>
        <v>-9.6553999996103812E-2</v>
      </c>
      <c r="K26">
        <f>G26</f>
        <v>-9.6553999996103812E-2</v>
      </c>
      <c r="O26">
        <f t="shared" si="3"/>
        <v>-9.6173627366628378E-2</v>
      </c>
      <c r="Q26" s="2">
        <f t="shared" si="4"/>
        <v>37824.654000000002</v>
      </c>
    </row>
    <row r="27" spans="1:17">
      <c r="A27" t="s">
        <v>33</v>
      </c>
      <c r="B27" t="s">
        <v>30</v>
      </c>
      <c r="C27">
        <v>53045.501900000003</v>
      </c>
      <c r="D27" s="6">
        <v>1E-4</v>
      </c>
      <c r="E27">
        <f t="shared" si="0"/>
        <v>1450.9128379346032</v>
      </c>
      <c r="F27">
        <f t="shared" si="1"/>
        <v>1451</v>
      </c>
      <c r="G27">
        <f t="shared" si="2"/>
        <v>-0.10955399999511428</v>
      </c>
      <c r="K27">
        <f>G27</f>
        <v>-0.10955399999511428</v>
      </c>
      <c r="O27">
        <f t="shared" si="3"/>
        <v>-0.10920073931067861</v>
      </c>
      <c r="Q27" s="2">
        <f t="shared" si="4"/>
        <v>38027.001900000003</v>
      </c>
    </row>
    <row r="28" spans="1:17">
      <c r="A28" t="s">
        <v>33</v>
      </c>
      <c r="B28" t="s">
        <v>30</v>
      </c>
      <c r="C28">
        <v>53142.2768</v>
      </c>
      <c r="D28" s="6">
        <v>2.0000000000000001E-4</v>
      </c>
      <c r="E28">
        <f t="shared" si="0"/>
        <v>1527.9077460418484</v>
      </c>
      <c r="F28">
        <f t="shared" si="1"/>
        <v>1528</v>
      </c>
      <c r="G28">
        <f t="shared" si="2"/>
        <v>-0.11595400000078371</v>
      </c>
      <c r="K28">
        <f>G28</f>
        <v>-0.11595400000078371</v>
      </c>
      <c r="O28">
        <f t="shared" si="3"/>
        <v>-0.11543109719696351</v>
      </c>
      <c r="Q28" s="2">
        <f t="shared" si="4"/>
        <v>38123.7768</v>
      </c>
    </row>
    <row r="29" spans="1:17">
      <c r="A29" s="8" t="s">
        <v>38</v>
      </c>
      <c r="C29">
        <v>53472.820899999999</v>
      </c>
      <c r="D29" s="6">
        <v>2.9999999999999997E-4</v>
      </c>
      <c r="E29">
        <f t="shared" si="0"/>
        <v>1790.8913565120524</v>
      </c>
      <c r="F29">
        <f t="shared" si="1"/>
        <v>1791</v>
      </c>
      <c r="G29">
        <f t="shared" si="2"/>
        <v>-0.13655400000425288</v>
      </c>
      <c r="L29">
        <f>G29</f>
        <v>-0.13655400000425288</v>
      </c>
      <c r="O29">
        <f>+C$11+C$12*$F29</f>
        <v>-0.13671141049687169</v>
      </c>
      <c r="Q29" s="2">
        <f>+C29-15018.5</f>
        <v>38454.320899999999</v>
      </c>
    </row>
    <row r="30" spans="1:17">
      <c r="D30" s="6"/>
    </row>
    <row r="31" spans="1:17">
      <c r="D31" s="6"/>
    </row>
    <row r="32" spans="1:17">
      <c r="D32" s="6"/>
    </row>
    <row r="33" spans="4:4">
      <c r="D33" s="6"/>
    </row>
    <row r="34" spans="4:4">
      <c r="D34" s="6"/>
    </row>
    <row r="35" spans="4:4">
      <c r="D35" s="6"/>
    </row>
    <row r="36" spans="4:4">
      <c r="D36" s="6"/>
    </row>
    <row r="37" spans="4:4">
      <c r="D37" s="6"/>
    </row>
    <row r="38" spans="4:4">
      <c r="D38" s="6"/>
    </row>
    <row r="39" spans="4:4">
      <c r="D39" s="6"/>
    </row>
    <row r="40" spans="4:4">
      <c r="D40" s="6"/>
    </row>
    <row r="41" spans="4:4">
      <c r="D41" s="6"/>
    </row>
    <row r="42" spans="4:4">
      <c r="D42" s="6"/>
    </row>
    <row r="43" spans="4:4">
      <c r="D43" s="6"/>
    </row>
    <row r="44" spans="4:4">
      <c r="D44" s="6"/>
    </row>
    <row r="45" spans="4:4">
      <c r="D45" s="6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814"/>
  <sheetViews>
    <sheetView workbookViewId="0">
      <selection activeCell="A33" sqref="A33:D34"/>
    </sheetView>
  </sheetViews>
  <sheetFormatPr defaultRowHeight="12.75"/>
  <cols>
    <col min="1" max="1" width="19.7109375" style="15" customWidth="1"/>
    <col min="2" max="2" width="4.42578125" style="17" customWidth="1"/>
    <col min="3" max="3" width="12.7109375" style="15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15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>
      <c r="A1" s="48" t="s">
        <v>67</v>
      </c>
      <c r="I1" s="49" t="s">
        <v>68</v>
      </c>
      <c r="J1" s="50" t="s">
        <v>69</v>
      </c>
    </row>
    <row r="2" spans="1:16">
      <c r="I2" s="51" t="s">
        <v>70</v>
      </c>
      <c r="J2" s="52" t="s">
        <v>71</v>
      </c>
    </row>
    <row r="3" spans="1:16">
      <c r="A3" s="53" t="s">
        <v>72</v>
      </c>
      <c r="I3" s="51" t="s">
        <v>73</v>
      </c>
      <c r="J3" s="52" t="s">
        <v>74</v>
      </c>
    </row>
    <row r="4" spans="1:16">
      <c r="I4" s="51" t="s">
        <v>75</v>
      </c>
      <c r="J4" s="52" t="s">
        <v>74</v>
      </c>
    </row>
    <row r="5" spans="1:16" ht="13.5" thickBot="1">
      <c r="I5" s="54" t="s">
        <v>76</v>
      </c>
      <c r="J5" s="55" t="s">
        <v>77</v>
      </c>
    </row>
    <row r="10" spans="1:16" ht="13.5" thickBot="1"/>
    <row r="11" spans="1:16" ht="12.75" customHeight="1" thickBot="1">
      <c r="A11" s="15" t="str">
        <f t="shared" ref="A11:A34" si="0">P11</f>
        <v>IBVS 5592 </v>
      </c>
      <c r="B11" s="6" t="str">
        <f t="shared" ref="B11:B34" si="1">IF(H11=INT(H11),"I","II")</f>
        <v>I</v>
      </c>
      <c r="C11" s="15">
        <f t="shared" ref="C11:C34" si="2">1*G11</f>
        <v>52843.154000000002</v>
      </c>
      <c r="D11" s="17" t="str">
        <f t="shared" ref="D11:D34" si="3">VLOOKUP(F11,I$1:J$5,2,FALSE)</f>
        <v>vis</v>
      </c>
      <c r="E11" s="56">
        <f>VLOOKUP(C11,Active!C$21:E$973,3,FALSE)</f>
        <v>1290.0062258149303</v>
      </c>
      <c r="F11" s="6" t="s">
        <v>76</v>
      </c>
      <c r="G11" s="17" t="str">
        <f t="shared" ref="G11:G34" si="4">MID(I11,3,LEN(I11)-3)</f>
        <v>52843.1540</v>
      </c>
      <c r="H11" s="15">
        <f t="shared" ref="H11:H34" si="5">1*K11</f>
        <v>273</v>
      </c>
      <c r="I11" s="57" t="s">
        <v>78</v>
      </c>
      <c r="J11" s="58" t="s">
        <v>79</v>
      </c>
      <c r="K11" s="57">
        <v>273</v>
      </c>
      <c r="L11" s="57" t="s">
        <v>80</v>
      </c>
      <c r="M11" s="58" t="s">
        <v>81</v>
      </c>
      <c r="N11" s="58" t="s">
        <v>82</v>
      </c>
      <c r="O11" s="59" t="s">
        <v>83</v>
      </c>
      <c r="P11" s="60" t="s">
        <v>84</v>
      </c>
    </row>
    <row r="12" spans="1:16" ht="12.75" customHeight="1" thickBot="1">
      <c r="A12" s="15" t="str">
        <f t="shared" si="0"/>
        <v>IBVS 5592 </v>
      </c>
      <c r="B12" s="6" t="str">
        <f t="shared" si="1"/>
        <v>I</v>
      </c>
      <c r="C12" s="15">
        <f t="shared" si="2"/>
        <v>53045.501900000003</v>
      </c>
      <c r="D12" s="17" t="str">
        <f t="shared" si="3"/>
        <v>vis</v>
      </c>
      <c r="E12" s="56">
        <f>VLOOKUP(C12,Active!C$21:E$973,3,FALSE)</f>
        <v>1451.0062473868059</v>
      </c>
      <c r="F12" s="6" t="s">
        <v>76</v>
      </c>
      <c r="G12" s="17" t="str">
        <f t="shared" si="4"/>
        <v>53045.5019</v>
      </c>
      <c r="H12" s="15">
        <f t="shared" si="5"/>
        <v>434</v>
      </c>
      <c r="I12" s="57" t="s">
        <v>85</v>
      </c>
      <c r="J12" s="58" t="s">
        <v>86</v>
      </c>
      <c r="K12" s="57">
        <v>434</v>
      </c>
      <c r="L12" s="57" t="s">
        <v>87</v>
      </c>
      <c r="M12" s="58" t="s">
        <v>81</v>
      </c>
      <c r="N12" s="58" t="s">
        <v>82</v>
      </c>
      <c r="O12" s="59" t="s">
        <v>83</v>
      </c>
      <c r="P12" s="60" t="s">
        <v>84</v>
      </c>
    </row>
    <row r="13" spans="1:16" ht="12.75" customHeight="1" thickBot="1">
      <c r="A13" s="15" t="str">
        <f t="shared" si="0"/>
        <v>IBVS 5592 </v>
      </c>
      <c r="B13" s="6" t="str">
        <f t="shared" si="1"/>
        <v>I</v>
      </c>
      <c r="C13" s="15">
        <f t="shared" si="2"/>
        <v>53142.2768</v>
      </c>
      <c r="D13" s="17" t="str">
        <f t="shared" si="3"/>
        <v>vis</v>
      </c>
      <c r="E13" s="56">
        <f>VLOOKUP(C13,Active!C$21:E$973,3,FALSE)</f>
        <v>1528.00611240945</v>
      </c>
      <c r="F13" s="6" t="s">
        <v>76</v>
      </c>
      <c r="G13" s="17" t="str">
        <f t="shared" si="4"/>
        <v>53142.2768</v>
      </c>
      <c r="H13" s="15">
        <f t="shared" si="5"/>
        <v>511</v>
      </c>
      <c r="I13" s="57" t="s">
        <v>88</v>
      </c>
      <c r="J13" s="58" t="s">
        <v>89</v>
      </c>
      <c r="K13" s="57">
        <v>511</v>
      </c>
      <c r="L13" s="57" t="s">
        <v>87</v>
      </c>
      <c r="M13" s="58" t="s">
        <v>81</v>
      </c>
      <c r="N13" s="58" t="s">
        <v>82</v>
      </c>
      <c r="O13" s="59" t="s">
        <v>83</v>
      </c>
      <c r="P13" s="60" t="s">
        <v>84</v>
      </c>
    </row>
    <row r="14" spans="1:16" ht="12.75" customHeight="1" thickBot="1">
      <c r="A14" s="15" t="str">
        <f t="shared" si="0"/>
        <v>IBVS 5672 </v>
      </c>
      <c r="B14" s="6" t="str">
        <f t="shared" si="1"/>
        <v>I</v>
      </c>
      <c r="C14" s="15">
        <f t="shared" si="2"/>
        <v>53472.820899999999</v>
      </c>
      <c r="D14" s="17" t="str">
        <f t="shared" si="3"/>
        <v>vis</v>
      </c>
      <c r="E14" s="56">
        <f>VLOOKUP(C14,Active!C$21:E$973,3,FALSE)</f>
        <v>1791.0066537071646</v>
      </c>
      <c r="F14" s="6" t="s">
        <v>76</v>
      </c>
      <c r="G14" s="17" t="str">
        <f t="shared" si="4"/>
        <v>53472.8209</v>
      </c>
      <c r="H14" s="15">
        <f t="shared" si="5"/>
        <v>774</v>
      </c>
      <c r="I14" s="57" t="s">
        <v>90</v>
      </c>
      <c r="J14" s="58" t="s">
        <v>91</v>
      </c>
      <c r="K14" s="57">
        <v>774</v>
      </c>
      <c r="L14" s="57" t="s">
        <v>92</v>
      </c>
      <c r="M14" s="58" t="s">
        <v>81</v>
      </c>
      <c r="N14" s="58" t="s">
        <v>82</v>
      </c>
      <c r="O14" s="59" t="s">
        <v>93</v>
      </c>
      <c r="P14" s="60" t="s">
        <v>94</v>
      </c>
    </row>
    <row r="15" spans="1:16" ht="12.75" customHeight="1" thickBot="1">
      <c r="A15" s="15" t="str">
        <f t="shared" si="0"/>
        <v>OEJV 0003 </v>
      </c>
      <c r="B15" s="6" t="str">
        <f t="shared" si="1"/>
        <v>I</v>
      </c>
      <c r="C15" s="15">
        <f t="shared" si="2"/>
        <v>53515.559000000001</v>
      </c>
      <c r="D15" s="17" t="str">
        <f t="shared" si="3"/>
        <v>vis</v>
      </c>
      <c r="E15" s="56">
        <f>VLOOKUP(C15,Active!C$21:E$973,3,FALSE)</f>
        <v>1825.0116274278769</v>
      </c>
      <c r="F15" s="6" t="s">
        <v>76</v>
      </c>
      <c r="G15" s="17" t="str">
        <f t="shared" si="4"/>
        <v>53515.559</v>
      </c>
      <c r="H15" s="15">
        <f t="shared" si="5"/>
        <v>808</v>
      </c>
      <c r="I15" s="57" t="s">
        <v>95</v>
      </c>
      <c r="J15" s="58" t="s">
        <v>96</v>
      </c>
      <c r="K15" s="57">
        <v>808</v>
      </c>
      <c r="L15" s="57" t="s">
        <v>97</v>
      </c>
      <c r="M15" s="58" t="s">
        <v>98</v>
      </c>
      <c r="N15" s="58"/>
      <c r="O15" s="59" t="s">
        <v>99</v>
      </c>
      <c r="P15" s="60" t="s">
        <v>100</v>
      </c>
    </row>
    <row r="16" spans="1:16" ht="12.75" customHeight="1" thickBot="1">
      <c r="A16" s="15" t="str">
        <f t="shared" si="0"/>
        <v>BAVM 186 </v>
      </c>
      <c r="B16" s="6" t="str">
        <f t="shared" si="1"/>
        <v>I</v>
      </c>
      <c r="C16" s="15">
        <f t="shared" si="2"/>
        <v>54185.435100000002</v>
      </c>
      <c r="D16" s="17" t="str">
        <f t="shared" si="3"/>
        <v>vis</v>
      </c>
      <c r="E16" s="56">
        <f>VLOOKUP(C16,Active!C$21:E$973,3,FALSE)</f>
        <v>2358.0048858233613</v>
      </c>
      <c r="F16" s="6" t="s">
        <v>76</v>
      </c>
      <c r="G16" s="17" t="str">
        <f t="shared" si="4"/>
        <v>54185.4351</v>
      </c>
      <c r="H16" s="15">
        <f t="shared" si="5"/>
        <v>1341</v>
      </c>
      <c r="I16" s="57" t="s">
        <v>101</v>
      </c>
      <c r="J16" s="58" t="s">
        <v>102</v>
      </c>
      <c r="K16" s="57">
        <v>1341</v>
      </c>
      <c r="L16" s="57" t="s">
        <v>103</v>
      </c>
      <c r="M16" s="58" t="s">
        <v>104</v>
      </c>
      <c r="N16" s="58" t="s">
        <v>105</v>
      </c>
      <c r="O16" s="59" t="s">
        <v>106</v>
      </c>
      <c r="P16" s="60" t="s">
        <v>107</v>
      </c>
    </row>
    <row r="17" spans="1:16" ht="12.75" customHeight="1" thickBot="1">
      <c r="A17" s="15" t="str">
        <f t="shared" si="0"/>
        <v>IBVS 5875 </v>
      </c>
      <c r="B17" s="6" t="str">
        <f t="shared" si="1"/>
        <v>II</v>
      </c>
      <c r="C17" s="15">
        <f t="shared" si="2"/>
        <v>54590.759299999998</v>
      </c>
      <c r="D17" s="17" t="str">
        <f t="shared" si="3"/>
        <v>vis</v>
      </c>
      <c r="E17" s="56">
        <f>VLOOKUP(C17,Active!C$21:E$973,3,FALSE)</f>
        <v>2680.5049213740253</v>
      </c>
      <c r="F17" s="6" t="s">
        <v>76</v>
      </c>
      <c r="G17" s="17" t="str">
        <f t="shared" si="4"/>
        <v>54590.7593</v>
      </c>
      <c r="H17" s="15">
        <f t="shared" si="5"/>
        <v>1663.5</v>
      </c>
      <c r="I17" s="57" t="s">
        <v>115</v>
      </c>
      <c r="J17" s="58" t="s">
        <v>116</v>
      </c>
      <c r="K17" s="57" t="s">
        <v>117</v>
      </c>
      <c r="L17" s="57" t="s">
        <v>118</v>
      </c>
      <c r="M17" s="58" t="s">
        <v>104</v>
      </c>
      <c r="N17" s="58" t="s">
        <v>119</v>
      </c>
      <c r="O17" s="59" t="s">
        <v>120</v>
      </c>
      <c r="P17" s="60" t="s">
        <v>121</v>
      </c>
    </row>
    <row r="18" spans="1:16" ht="12.75" customHeight="1" thickBot="1">
      <c r="A18" s="15" t="str">
        <f t="shared" si="0"/>
        <v>BAVM 209 </v>
      </c>
      <c r="B18" s="6" t="str">
        <f t="shared" si="1"/>
        <v>I</v>
      </c>
      <c r="C18" s="15">
        <f t="shared" si="2"/>
        <v>54591.385199999997</v>
      </c>
      <c r="D18" s="17" t="str">
        <f t="shared" si="3"/>
        <v>vis</v>
      </c>
      <c r="E18" s="56">
        <f>VLOOKUP(C18,Active!C$21:E$973,3,FALSE)</f>
        <v>2681.0029246322833</v>
      </c>
      <c r="F18" s="6" t="s">
        <v>76</v>
      </c>
      <c r="G18" s="17" t="str">
        <f t="shared" si="4"/>
        <v>54591.3852</v>
      </c>
      <c r="H18" s="15">
        <f t="shared" si="5"/>
        <v>1664</v>
      </c>
      <c r="I18" s="57" t="s">
        <v>122</v>
      </c>
      <c r="J18" s="58" t="s">
        <v>123</v>
      </c>
      <c r="K18" s="57" t="s">
        <v>124</v>
      </c>
      <c r="L18" s="57" t="s">
        <v>125</v>
      </c>
      <c r="M18" s="58" t="s">
        <v>104</v>
      </c>
      <c r="N18" s="58" t="s">
        <v>105</v>
      </c>
      <c r="O18" s="59" t="s">
        <v>126</v>
      </c>
      <c r="P18" s="60" t="s">
        <v>127</v>
      </c>
    </row>
    <row r="19" spans="1:16" ht="12.75" customHeight="1" thickBot="1">
      <c r="A19" s="15" t="str">
        <f t="shared" si="0"/>
        <v>IBVS 6039 </v>
      </c>
      <c r="B19" s="6" t="str">
        <f t="shared" si="1"/>
        <v>II</v>
      </c>
      <c r="C19" s="15">
        <f t="shared" si="2"/>
        <v>55328.504500000003</v>
      </c>
      <c r="D19" s="17" t="str">
        <f t="shared" si="3"/>
        <v>vis</v>
      </c>
      <c r="E19" s="56">
        <f>VLOOKUP(C19,Active!C$21:E$973,3,FALSE)</f>
        <v>3267.4988714696174</v>
      </c>
      <c r="F19" s="6" t="s">
        <v>76</v>
      </c>
      <c r="G19" s="17" t="str">
        <f t="shared" si="4"/>
        <v>55328.5045</v>
      </c>
      <c r="H19" s="15">
        <f t="shared" si="5"/>
        <v>2250.5</v>
      </c>
      <c r="I19" s="57" t="s">
        <v>135</v>
      </c>
      <c r="J19" s="58" t="s">
        <v>136</v>
      </c>
      <c r="K19" s="57" t="s">
        <v>137</v>
      </c>
      <c r="L19" s="57" t="s">
        <v>138</v>
      </c>
      <c r="M19" s="58" t="s">
        <v>104</v>
      </c>
      <c r="N19" s="58" t="s">
        <v>139</v>
      </c>
      <c r="O19" s="59" t="s">
        <v>140</v>
      </c>
      <c r="P19" s="60" t="s">
        <v>141</v>
      </c>
    </row>
    <row r="20" spans="1:16" ht="12.75" customHeight="1" thickBot="1">
      <c r="A20" s="15" t="str">
        <f t="shared" si="0"/>
        <v>IBVS 6039 </v>
      </c>
      <c r="B20" s="6" t="str">
        <f t="shared" si="1"/>
        <v>I</v>
      </c>
      <c r="C20" s="15">
        <f t="shared" si="2"/>
        <v>55330.387799999997</v>
      </c>
      <c r="D20" s="17" t="str">
        <f t="shared" si="3"/>
        <v>vis</v>
      </c>
      <c r="E20" s="56">
        <f>VLOOKUP(C20,Active!C$21:E$973,3,FALSE)</f>
        <v>3268.9973369373856</v>
      </c>
      <c r="F20" s="6" t="s">
        <v>76</v>
      </c>
      <c r="G20" s="17" t="str">
        <f t="shared" si="4"/>
        <v>55330.3878</v>
      </c>
      <c r="H20" s="15">
        <f t="shared" si="5"/>
        <v>2252</v>
      </c>
      <c r="I20" s="57" t="s">
        <v>142</v>
      </c>
      <c r="J20" s="58" t="s">
        <v>143</v>
      </c>
      <c r="K20" s="57" t="s">
        <v>144</v>
      </c>
      <c r="L20" s="57" t="s">
        <v>145</v>
      </c>
      <c r="M20" s="58" t="s">
        <v>104</v>
      </c>
      <c r="N20" s="58" t="s">
        <v>139</v>
      </c>
      <c r="O20" s="59" t="s">
        <v>146</v>
      </c>
      <c r="P20" s="60" t="s">
        <v>141</v>
      </c>
    </row>
    <row r="21" spans="1:16" ht="12.75" customHeight="1" thickBot="1">
      <c r="A21" s="15" t="str">
        <f t="shared" si="0"/>
        <v>OEJV 0160 </v>
      </c>
      <c r="B21" s="6" t="str">
        <f t="shared" si="1"/>
        <v>I</v>
      </c>
      <c r="C21" s="15">
        <f t="shared" si="2"/>
        <v>55624.478589999999</v>
      </c>
      <c r="D21" s="17" t="str">
        <f t="shared" si="3"/>
        <v>vis</v>
      </c>
      <c r="E21" s="56">
        <f>VLOOKUP(C21,Active!C$21:E$973,3,FALSE)</f>
        <v>3502.9934571545464</v>
      </c>
      <c r="F21" s="6" t="s">
        <v>76</v>
      </c>
      <c r="G21" s="17" t="str">
        <f t="shared" si="4"/>
        <v>55624.47859</v>
      </c>
      <c r="H21" s="15">
        <f t="shared" si="5"/>
        <v>2486</v>
      </c>
      <c r="I21" s="57" t="s">
        <v>147</v>
      </c>
      <c r="J21" s="58" t="s">
        <v>148</v>
      </c>
      <c r="K21" s="57" t="s">
        <v>149</v>
      </c>
      <c r="L21" s="57" t="s">
        <v>150</v>
      </c>
      <c r="M21" s="58" t="s">
        <v>104</v>
      </c>
      <c r="N21" s="58" t="s">
        <v>151</v>
      </c>
      <c r="O21" s="59" t="s">
        <v>152</v>
      </c>
      <c r="P21" s="60" t="s">
        <v>153</v>
      </c>
    </row>
    <row r="22" spans="1:16" ht="12.75" customHeight="1" thickBot="1">
      <c r="A22" s="15" t="str">
        <f t="shared" si="0"/>
        <v>OEJV 0160 </v>
      </c>
      <c r="B22" s="6" t="str">
        <f t="shared" si="1"/>
        <v>I</v>
      </c>
      <c r="C22" s="15">
        <f t="shared" si="2"/>
        <v>55624.4787</v>
      </c>
      <c r="D22" s="17" t="str">
        <f t="shared" si="3"/>
        <v>vis</v>
      </c>
      <c r="E22" s="56">
        <f>VLOOKUP(C22,Active!C$21:E$973,3,FALSE)</f>
        <v>3502.9935446770883</v>
      </c>
      <c r="F22" s="6" t="s">
        <v>76</v>
      </c>
      <c r="G22" s="17" t="str">
        <f t="shared" si="4"/>
        <v>55624.4787</v>
      </c>
      <c r="H22" s="15">
        <f t="shared" si="5"/>
        <v>2486</v>
      </c>
      <c r="I22" s="57" t="s">
        <v>154</v>
      </c>
      <c r="J22" s="58" t="s">
        <v>148</v>
      </c>
      <c r="K22" s="57" t="s">
        <v>149</v>
      </c>
      <c r="L22" s="57" t="s">
        <v>155</v>
      </c>
      <c r="M22" s="58" t="s">
        <v>104</v>
      </c>
      <c r="N22" s="58" t="s">
        <v>30</v>
      </c>
      <c r="O22" s="59" t="s">
        <v>152</v>
      </c>
      <c r="P22" s="60" t="s">
        <v>153</v>
      </c>
    </row>
    <row r="23" spans="1:16" ht="12.75" customHeight="1" thickBot="1">
      <c r="A23" s="15" t="str">
        <f t="shared" si="0"/>
        <v>OEJV 0160 </v>
      </c>
      <c r="B23" s="6" t="str">
        <f t="shared" si="1"/>
        <v>I</v>
      </c>
      <c r="C23" s="15">
        <f t="shared" si="2"/>
        <v>55624.478969999996</v>
      </c>
      <c r="D23" s="17" t="str">
        <f t="shared" si="3"/>
        <v>vis</v>
      </c>
      <c r="E23" s="56">
        <f>VLOOKUP(C23,Active!C$21:E$973,3,FALSE)</f>
        <v>3502.9937595051406</v>
      </c>
      <c r="F23" s="6" t="s">
        <v>76</v>
      </c>
      <c r="G23" s="17" t="str">
        <f t="shared" si="4"/>
        <v>55624.47897</v>
      </c>
      <c r="H23" s="15">
        <f t="shared" si="5"/>
        <v>2486</v>
      </c>
      <c r="I23" s="57" t="s">
        <v>156</v>
      </c>
      <c r="J23" s="58" t="s">
        <v>148</v>
      </c>
      <c r="K23" s="57" t="s">
        <v>149</v>
      </c>
      <c r="L23" s="57" t="s">
        <v>157</v>
      </c>
      <c r="M23" s="58" t="s">
        <v>104</v>
      </c>
      <c r="N23" s="58" t="s">
        <v>119</v>
      </c>
      <c r="O23" s="59" t="s">
        <v>152</v>
      </c>
      <c r="P23" s="60" t="s">
        <v>153</v>
      </c>
    </row>
    <row r="24" spans="1:16" ht="12.75" customHeight="1" thickBot="1">
      <c r="A24" s="15" t="str">
        <f t="shared" si="0"/>
        <v>OEJV 0160 </v>
      </c>
      <c r="B24" s="6" t="str">
        <f t="shared" si="1"/>
        <v>I</v>
      </c>
      <c r="C24" s="15">
        <f t="shared" si="2"/>
        <v>55624.479189999998</v>
      </c>
      <c r="D24" s="17" t="str">
        <f t="shared" si="3"/>
        <v>vis</v>
      </c>
      <c r="E24" s="56">
        <f>VLOOKUP(C24,Active!C$21:E$973,3,FALSE)</f>
        <v>3502.9939345502239</v>
      </c>
      <c r="F24" s="6" t="s">
        <v>76</v>
      </c>
      <c r="G24" s="17" t="str">
        <f t="shared" si="4"/>
        <v>55624.47919</v>
      </c>
      <c r="H24" s="15">
        <f t="shared" si="5"/>
        <v>2486</v>
      </c>
      <c r="I24" s="57" t="s">
        <v>158</v>
      </c>
      <c r="J24" s="58" t="s">
        <v>159</v>
      </c>
      <c r="K24" s="57" t="s">
        <v>149</v>
      </c>
      <c r="L24" s="57" t="s">
        <v>160</v>
      </c>
      <c r="M24" s="58" t="s">
        <v>104</v>
      </c>
      <c r="N24" s="58" t="s">
        <v>76</v>
      </c>
      <c r="O24" s="59" t="s">
        <v>152</v>
      </c>
      <c r="P24" s="60" t="s">
        <v>153</v>
      </c>
    </row>
    <row r="25" spans="1:16" ht="12.75" customHeight="1" thickBot="1">
      <c r="A25" s="15" t="str">
        <f t="shared" si="0"/>
        <v>IBVS 6041 </v>
      </c>
      <c r="B25" s="6" t="str">
        <f t="shared" si="1"/>
        <v>I</v>
      </c>
      <c r="C25" s="15">
        <f t="shared" si="2"/>
        <v>55663.440900000001</v>
      </c>
      <c r="D25" s="17" t="str">
        <f t="shared" si="3"/>
        <v>vis</v>
      </c>
      <c r="E25" s="56">
        <f>VLOOKUP(C25,Active!C$21:E$973,3,FALSE)</f>
        <v>3533.9941878292434</v>
      </c>
      <c r="F25" s="6" t="s">
        <v>76</v>
      </c>
      <c r="G25" s="17" t="str">
        <f t="shared" si="4"/>
        <v>55663.4409</v>
      </c>
      <c r="H25" s="15">
        <f t="shared" si="5"/>
        <v>2517</v>
      </c>
      <c r="I25" s="57" t="s">
        <v>161</v>
      </c>
      <c r="J25" s="58" t="s">
        <v>162</v>
      </c>
      <c r="K25" s="57" t="s">
        <v>163</v>
      </c>
      <c r="L25" s="57" t="s">
        <v>164</v>
      </c>
      <c r="M25" s="58" t="s">
        <v>104</v>
      </c>
      <c r="N25" s="58" t="s">
        <v>139</v>
      </c>
      <c r="O25" s="59" t="s">
        <v>165</v>
      </c>
      <c r="P25" s="60" t="s">
        <v>166</v>
      </c>
    </row>
    <row r="26" spans="1:16" ht="12.75" customHeight="1" thickBot="1">
      <c r="A26" s="15" t="str">
        <f t="shared" si="0"/>
        <v>IBVS 5992 </v>
      </c>
      <c r="B26" s="6" t="str">
        <f t="shared" si="1"/>
        <v>I</v>
      </c>
      <c r="C26" s="15">
        <f t="shared" si="2"/>
        <v>55674.751799999998</v>
      </c>
      <c r="D26" s="17" t="str">
        <f t="shared" si="3"/>
        <v>vis</v>
      </c>
      <c r="E26" s="56">
        <f>VLOOKUP(C26,Active!C$21:E$973,3,FALSE)</f>
        <v>3542.9938124559221</v>
      </c>
      <c r="F26" s="6" t="s">
        <v>76</v>
      </c>
      <c r="G26" s="17" t="str">
        <f t="shared" si="4"/>
        <v>55674.7518</v>
      </c>
      <c r="H26" s="15">
        <f t="shared" si="5"/>
        <v>2526</v>
      </c>
      <c r="I26" s="57" t="s">
        <v>167</v>
      </c>
      <c r="J26" s="58" t="s">
        <v>168</v>
      </c>
      <c r="K26" s="57" t="s">
        <v>169</v>
      </c>
      <c r="L26" s="57" t="s">
        <v>170</v>
      </c>
      <c r="M26" s="58" t="s">
        <v>104</v>
      </c>
      <c r="N26" s="58" t="s">
        <v>76</v>
      </c>
      <c r="O26" s="59" t="s">
        <v>171</v>
      </c>
      <c r="P26" s="60" t="s">
        <v>172</v>
      </c>
    </row>
    <row r="27" spans="1:16" ht="12.75" customHeight="1" thickBot="1">
      <c r="A27" s="15" t="str">
        <f t="shared" si="0"/>
        <v>OEJV 0160 </v>
      </c>
      <c r="B27" s="6" t="str">
        <f t="shared" si="1"/>
        <v>II</v>
      </c>
      <c r="C27" s="15">
        <f t="shared" si="2"/>
        <v>55969.473449999998</v>
      </c>
      <c r="D27" s="17" t="str">
        <f t="shared" si="3"/>
        <v>vis</v>
      </c>
      <c r="E27" s="56">
        <f>VLOOKUP(C27,Active!C$21:E$973,3,FALSE)</f>
        <v>3777.4918824022793</v>
      </c>
      <c r="F27" s="6" t="s">
        <v>76</v>
      </c>
      <c r="G27" s="17" t="str">
        <f t="shared" si="4"/>
        <v>55969.47345</v>
      </c>
      <c r="H27" s="15">
        <f t="shared" si="5"/>
        <v>2760.5</v>
      </c>
      <c r="I27" s="57" t="s">
        <v>173</v>
      </c>
      <c r="J27" s="58" t="s">
        <v>174</v>
      </c>
      <c r="K27" s="57" t="s">
        <v>175</v>
      </c>
      <c r="L27" s="57" t="s">
        <v>176</v>
      </c>
      <c r="M27" s="58" t="s">
        <v>104</v>
      </c>
      <c r="N27" s="58" t="s">
        <v>30</v>
      </c>
      <c r="O27" s="59" t="s">
        <v>152</v>
      </c>
      <c r="P27" s="60" t="s">
        <v>153</v>
      </c>
    </row>
    <row r="28" spans="1:16" ht="12.75" customHeight="1" thickBot="1">
      <c r="A28" s="15" t="str">
        <f t="shared" si="0"/>
        <v>OEJV 0160 </v>
      </c>
      <c r="B28" s="6" t="str">
        <f t="shared" si="1"/>
        <v>II</v>
      </c>
      <c r="C28" s="15">
        <f t="shared" si="2"/>
        <v>55969.473579999998</v>
      </c>
      <c r="D28" s="17" t="str">
        <f t="shared" si="3"/>
        <v>vis</v>
      </c>
      <c r="E28" s="56">
        <f>VLOOKUP(C28,Active!C$21:E$973,3,FALSE)</f>
        <v>3777.4919858380099</v>
      </c>
      <c r="F28" s="6" t="s">
        <v>76</v>
      </c>
      <c r="G28" s="17" t="str">
        <f t="shared" si="4"/>
        <v>55969.47358</v>
      </c>
      <c r="H28" s="15">
        <f t="shared" si="5"/>
        <v>2760.5</v>
      </c>
      <c r="I28" s="57" t="s">
        <v>177</v>
      </c>
      <c r="J28" s="58" t="s">
        <v>174</v>
      </c>
      <c r="K28" s="57" t="s">
        <v>175</v>
      </c>
      <c r="L28" s="57" t="s">
        <v>178</v>
      </c>
      <c r="M28" s="58" t="s">
        <v>104</v>
      </c>
      <c r="N28" s="58" t="s">
        <v>119</v>
      </c>
      <c r="O28" s="59" t="s">
        <v>152</v>
      </c>
      <c r="P28" s="60" t="s">
        <v>153</v>
      </c>
    </row>
    <row r="29" spans="1:16" ht="12.75" customHeight="1" thickBot="1">
      <c r="A29" s="15" t="str">
        <f t="shared" si="0"/>
        <v>BAVM 234 </v>
      </c>
      <c r="B29" s="6" t="str">
        <f t="shared" si="1"/>
        <v>I</v>
      </c>
      <c r="C29" s="15">
        <f t="shared" si="2"/>
        <v>56015.342100000002</v>
      </c>
      <c r="D29" s="17" t="str">
        <f t="shared" si="3"/>
        <v>vis</v>
      </c>
      <c r="E29" s="56">
        <f>VLOOKUP(C29,Active!C$21:E$973,3,FALSE)</f>
        <v>3813.9877078567242</v>
      </c>
      <c r="F29" s="6" t="s">
        <v>76</v>
      </c>
      <c r="G29" s="17" t="str">
        <f t="shared" si="4"/>
        <v>56015.3421</v>
      </c>
      <c r="H29" s="15">
        <f t="shared" si="5"/>
        <v>2797</v>
      </c>
      <c r="I29" s="57" t="s">
        <v>179</v>
      </c>
      <c r="J29" s="58" t="s">
        <v>180</v>
      </c>
      <c r="K29" s="57" t="s">
        <v>181</v>
      </c>
      <c r="L29" s="57" t="s">
        <v>182</v>
      </c>
      <c r="M29" s="58" t="s">
        <v>104</v>
      </c>
      <c r="N29" s="58" t="s">
        <v>112</v>
      </c>
      <c r="O29" s="59" t="s">
        <v>183</v>
      </c>
      <c r="P29" s="60" t="s">
        <v>184</v>
      </c>
    </row>
    <row r="30" spans="1:16" ht="12.75" customHeight="1" thickBot="1">
      <c r="A30" s="15" t="str">
        <f t="shared" si="0"/>
        <v>BAVM 231 </v>
      </c>
      <c r="B30" s="6" t="str">
        <f t="shared" si="1"/>
        <v>I</v>
      </c>
      <c r="C30" s="15">
        <f t="shared" si="2"/>
        <v>56069.3845</v>
      </c>
      <c r="D30" s="17" t="str">
        <f t="shared" si="3"/>
        <v>vis</v>
      </c>
      <c r="E30" s="56">
        <f>VLOOKUP(C30,Active!C$21:E$973,3,FALSE)</f>
        <v>3856.9870548516551</v>
      </c>
      <c r="F30" s="6" t="s">
        <v>76</v>
      </c>
      <c r="G30" s="17" t="str">
        <f t="shared" si="4"/>
        <v>56069.3845</v>
      </c>
      <c r="H30" s="15">
        <f t="shared" si="5"/>
        <v>2840</v>
      </c>
      <c r="I30" s="57" t="s">
        <v>185</v>
      </c>
      <c r="J30" s="58" t="s">
        <v>186</v>
      </c>
      <c r="K30" s="57" t="s">
        <v>187</v>
      </c>
      <c r="L30" s="57" t="s">
        <v>188</v>
      </c>
      <c r="M30" s="58" t="s">
        <v>104</v>
      </c>
      <c r="N30" s="58" t="s">
        <v>76</v>
      </c>
      <c r="O30" s="59" t="s">
        <v>106</v>
      </c>
      <c r="P30" s="60" t="s">
        <v>189</v>
      </c>
    </row>
    <row r="31" spans="1:16" ht="12.75" customHeight="1" thickBot="1">
      <c r="A31" s="15" t="str">
        <f t="shared" si="0"/>
        <v>IBVS 6029 </v>
      </c>
      <c r="B31" s="6" t="str">
        <f t="shared" si="1"/>
        <v>I</v>
      </c>
      <c r="C31" s="15">
        <f t="shared" si="2"/>
        <v>56075.668100000003</v>
      </c>
      <c r="D31" s="17" t="str">
        <f t="shared" si="3"/>
        <v>vis</v>
      </c>
      <c r="E31" s="56">
        <f>VLOOKUP(C31,Active!C$21:E$973,3,FALSE)</f>
        <v>3861.9866606570499</v>
      </c>
      <c r="F31" s="6" t="s">
        <v>76</v>
      </c>
      <c r="G31" s="17" t="str">
        <f t="shared" si="4"/>
        <v>56075.6681</v>
      </c>
      <c r="H31" s="15">
        <f t="shared" si="5"/>
        <v>2845</v>
      </c>
      <c r="I31" s="57" t="s">
        <v>190</v>
      </c>
      <c r="J31" s="58" t="s">
        <v>191</v>
      </c>
      <c r="K31" s="57" t="s">
        <v>192</v>
      </c>
      <c r="L31" s="57" t="s">
        <v>193</v>
      </c>
      <c r="M31" s="58" t="s">
        <v>104</v>
      </c>
      <c r="N31" s="58" t="s">
        <v>76</v>
      </c>
      <c r="O31" s="59" t="s">
        <v>171</v>
      </c>
      <c r="P31" s="60" t="s">
        <v>194</v>
      </c>
    </row>
    <row r="32" spans="1:16" ht="12.75" customHeight="1" thickBot="1">
      <c r="A32" s="15" t="str">
        <f t="shared" si="0"/>
        <v>OEJV 0160 </v>
      </c>
      <c r="B32" s="6" t="str">
        <f t="shared" si="1"/>
        <v>II</v>
      </c>
      <c r="C32" s="15">
        <f t="shared" si="2"/>
        <v>56356.557209999999</v>
      </c>
      <c r="D32" s="17" t="str">
        <f t="shared" si="3"/>
        <v>vis</v>
      </c>
      <c r="E32" s="56">
        <f>VLOOKUP(C32,Active!C$21:E$973,3,FALSE)</f>
        <v>4085.4787392469643</v>
      </c>
      <c r="F32" s="6" t="s">
        <v>76</v>
      </c>
      <c r="G32" s="17" t="str">
        <f t="shared" si="4"/>
        <v>56356.55721</v>
      </c>
      <c r="H32" s="15">
        <f t="shared" si="5"/>
        <v>3068.5</v>
      </c>
      <c r="I32" s="57" t="s">
        <v>195</v>
      </c>
      <c r="J32" s="58" t="s">
        <v>196</v>
      </c>
      <c r="K32" s="57" t="s">
        <v>197</v>
      </c>
      <c r="L32" s="57" t="s">
        <v>198</v>
      </c>
      <c r="M32" s="58" t="s">
        <v>104</v>
      </c>
      <c r="N32" s="58" t="s">
        <v>68</v>
      </c>
      <c r="O32" s="59" t="s">
        <v>199</v>
      </c>
      <c r="P32" s="60" t="s">
        <v>153</v>
      </c>
    </row>
    <row r="33" spans="1:16" ht="12.75" customHeight="1" thickBot="1">
      <c r="A33" s="15" t="str">
        <f t="shared" si="0"/>
        <v>OEJV 0162 </v>
      </c>
      <c r="B33" s="6" t="str">
        <f t="shared" si="1"/>
        <v>I</v>
      </c>
      <c r="C33" s="15">
        <f t="shared" si="2"/>
        <v>54573.785000000003</v>
      </c>
      <c r="D33" s="17" t="str">
        <f t="shared" si="3"/>
        <v>vis</v>
      </c>
      <c r="E33" s="56">
        <f>VLOOKUP(C33,Active!C$21:E$973,3,FALSE)</f>
        <v>2666.9991589412716</v>
      </c>
      <c r="F33" s="6" t="s">
        <v>76</v>
      </c>
      <c r="G33" s="17" t="str">
        <f t="shared" si="4"/>
        <v>54573.785</v>
      </c>
      <c r="H33" s="15">
        <f t="shared" si="5"/>
        <v>1650</v>
      </c>
      <c r="I33" s="57" t="s">
        <v>108</v>
      </c>
      <c r="J33" s="58" t="s">
        <v>109</v>
      </c>
      <c r="K33" s="57" t="s">
        <v>110</v>
      </c>
      <c r="L33" s="57" t="s">
        <v>111</v>
      </c>
      <c r="M33" s="58" t="s">
        <v>104</v>
      </c>
      <c r="N33" s="58" t="s">
        <v>112</v>
      </c>
      <c r="O33" s="59" t="s">
        <v>113</v>
      </c>
      <c r="P33" s="60" t="s">
        <v>114</v>
      </c>
    </row>
    <row r="34" spans="1:16" ht="12.75" customHeight="1" thickBot="1">
      <c r="A34" s="15" t="str">
        <f t="shared" si="0"/>
        <v>VSB 51 </v>
      </c>
      <c r="B34" s="6" t="str">
        <f t="shared" si="1"/>
        <v>I</v>
      </c>
      <c r="C34" s="15">
        <f t="shared" si="2"/>
        <v>55251.209600000002</v>
      </c>
      <c r="D34" s="17" t="str">
        <f t="shared" si="3"/>
        <v>vis</v>
      </c>
      <c r="E34" s="56">
        <f>VLOOKUP(C34,Active!C$21:E$973,3,FALSE)</f>
        <v>3205.9984527976371</v>
      </c>
      <c r="F34" s="6" t="s">
        <v>76</v>
      </c>
      <c r="G34" s="17" t="str">
        <f t="shared" si="4"/>
        <v>55251.2096</v>
      </c>
      <c r="H34" s="15">
        <f t="shared" si="5"/>
        <v>2189</v>
      </c>
      <c r="I34" s="57" t="s">
        <v>128</v>
      </c>
      <c r="J34" s="58" t="s">
        <v>129</v>
      </c>
      <c r="K34" s="57" t="s">
        <v>130</v>
      </c>
      <c r="L34" s="57" t="s">
        <v>131</v>
      </c>
      <c r="M34" s="58" t="s">
        <v>104</v>
      </c>
      <c r="N34" s="58" t="s">
        <v>132</v>
      </c>
      <c r="O34" s="59" t="s">
        <v>133</v>
      </c>
      <c r="P34" s="60" t="s">
        <v>134</v>
      </c>
    </row>
    <row r="35" spans="1:16">
      <c r="B35" s="6"/>
      <c r="F35" s="6"/>
    </row>
    <row r="36" spans="1:16">
      <c r="B36" s="6"/>
      <c r="F36" s="6"/>
    </row>
    <row r="37" spans="1:16">
      <c r="B37" s="6"/>
      <c r="F37" s="6"/>
    </row>
    <row r="38" spans="1:16">
      <c r="B38" s="6"/>
      <c r="F38" s="6"/>
    </row>
    <row r="39" spans="1:16">
      <c r="B39" s="6"/>
      <c r="F39" s="6"/>
    </row>
    <row r="40" spans="1:16">
      <c r="B40" s="6"/>
      <c r="F40" s="6"/>
    </row>
    <row r="41" spans="1:16">
      <c r="B41" s="6"/>
      <c r="F41" s="6"/>
    </row>
    <row r="42" spans="1:16">
      <c r="B42" s="6"/>
      <c r="F42" s="6"/>
    </row>
    <row r="43" spans="1:16">
      <c r="B43" s="6"/>
      <c r="F43" s="6"/>
    </row>
    <row r="44" spans="1:16">
      <c r="B44" s="6"/>
      <c r="F44" s="6"/>
    </row>
    <row r="45" spans="1:16">
      <c r="B45" s="6"/>
      <c r="F45" s="6"/>
    </row>
    <row r="46" spans="1:16">
      <c r="B46" s="6"/>
      <c r="F46" s="6"/>
    </row>
    <row r="47" spans="1:16">
      <c r="B47" s="6"/>
      <c r="F47" s="6"/>
    </row>
    <row r="48" spans="1:1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</sheetData>
  <phoneticPr fontId="8" type="noConversion"/>
  <hyperlinks>
    <hyperlink ref="A3" r:id="rId1"/>
    <hyperlink ref="P11" r:id="rId2" display="http://www.konkoly.hu/cgi-bin/IBVS?5592"/>
    <hyperlink ref="P12" r:id="rId3" display="http://www.konkoly.hu/cgi-bin/IBVS?5592"/>
    <hyperlink ref="P13" r:id="rId4" display="http://www.konkoly.hu/cgi-bin/IBVS?5592"/>
    <hyperlink ref="P14" r:id="rId5" display="http://www.konkoly.hu/cgi-bin/IBVS?5672"/>
    <hyperlink ref="P15" r:id="rId6" display="http://var.astro.cz/oejv/issues/oejv0003.pdf"/>
    <hyperlink ref="P16" r:id="rId7" display="http://www.bav-astro.de/sfs/BAVM_link.php?BAVMnr=186"/>
    <hyperlink ref="P33" r:id="rId8" display="http://var.astro.cz/oejv/issues/oejv0162.pdf"/>
    <hyperlink ref="P17" r:id="rId9" display="http://www.konkoly.hu/cgi-bin/IBVS?5875"/>
    <hyperlink ref="P18" r:id="rId10" display="http://www.bav-astro.de/sfs/BAVM_link.php?BAVMnr=209"/>
    <hyperlink ref="P34" r:id="rId11" display="http://vsolj.cetus-net.org/vsoljno51.pdf"/>
    <hyperlink ref="P19" r:id="rId12" display="http://www.konkoly.hu/cgi-bin/IBVS?6039"/>
    <hyperlink ref="P20" r:id="rId13" display="http://www.konkoly.hu/cgi-bin/IBVS?6039"/>
    <hyperlink ref="P21" r:id="rId14" display="http://var.astro.cz/oejv/issues/oejv0160.pdf"/>
    <hyperlink ref="P22" r:id="rId15" display="http://var.astro.cz/oejv/issues/oejv0160.pdf"/>
    <hyperlink ref="P23" r:id="rId16" display="http://var.astro.cz/oejv/issues/oejv0160.pdf"/>
    <hyperlink ref="P24" r:id="rId17" display="http://var.astro.cz/oejv/issues/oejv0160.pdf"/>
    <hyperlink ref="P25" r:id="rId18" display="http://www.konkoly.hu/cgi-bin/IBVS?6041"/>
    <hyperlink ref="P26" r:id="rId19" display="http://www.konkoly.hu/cgi-bin/IBVS?5992"/>
    <hyperlink ref="P27" r:id="rId20" display="http://var.astro.cz/oejv/issues/oejv0160.pdf"/>
    <hyperlink ref="P28" r:id="rId21" display="http://var.astro.cz/oejv/issues/oejv0160.pdf"/>
    <hyperlink ref="P29" r:id="rId22" display="http://www.bav-astro.de/sfs/BAVM_link.php?BAVMnr=234"/>
    <hyperlink ref="P30" r:id="rId23" display="http://www.bav-astro.de/sfs/BAVM_link.php?BAVMnr=231"/>
    <hyperlink ref="P31" r:id="rId24" display="http://www.konkoly.hu/cgi-bin/IBVS?6029"/>
    <hyperlink ref="P32" r:id="rId25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2023-01-02T06:14:50Z</dcterms:modified>
</cp:coreProperties>
</file>