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C47C60E-1BD7-49A2-A969-D61125E4F02A}" xr6:coauthVersionLast="47" xr6:coauthVersionMax="47" xr10:uidLastSave="{00000000-0000-0000-0000-000000000000}"/>
  <bookViews>
    <workbookView xWindow="13770" yWindow="720" windowWidth="12975" windowHeight="1371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 s="1"/>
  <c r="K48" i="1" s="1"/>
  <c r="Q48" i="1"/>
  <c r="E49" i="1"/>
  <c r="F49" i="1"/>
  <c r="G49" i="1" s="1"/>
  <c r="K49" i="1" s="1"/>
  <c r="Q49" i="1"/>
  <c r="D9" i="1"/>
  <c r="C9" i="1"/>
  <c r="Q46" i="1"/>
  <c r="Q47" i="1"/>
  <c r="Q42" i="1"/>
  <c r="Q40" i="1"/>
  <c r="Q39" i="1"/>
  <c r="Q44" i="1"/>
  <c r="Q45" i="1"/>
  <c r="Q43" i="1"/>
  <c r="C7" i="1"/>
  <c r="E46" i="1"/>
  <c r="F46" i="1"/>
  <c r="C8" i="1"/>
  <c r="E25" i="1"/>
  <c r="F25" i="1"/>
  <c r="Q37" i="1"/>
  <c r="Q41" i="1"/>
  <c r="G12" i="2"/>
  <c r="C12" i="2"/>
  <c r="G17" i="2"/>
  <c r="C17" i="2"/>
  <c r="G11" i="2"/>
  <c r="C11" i="2"/>
  <c r="G16" i="2"/>
  <c r="C16" i="2"/>
  <c r="G15" i="2"/>
  <c r="C15" i="2"/>
  <c r="G14" i="2"/>
  <c r="C14" i="2"/>
  <c r="G13" i="2"/>
  <c r="C13" i="2"/>
  <c r="H12" i="2"/>
  <c r="D12" i="2"/>
  <c r="B12" i="2"/>
  <c r="A12" i="2"/>
  <c r="H17" i="2"/>
  <c r="B17" i="2"/>
  <c r="D17" i="2"/>
  <c r="A17" i="2"/>
  <c r="H11" i="2"/>
  <c r="D11" i="2"/>
  <c r="B11" i="2"/>
  <c r="A11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Q38" i="1"/>
  <c r="Q34" i="1"/>
  <c r="Q36" i="1"/>
  <c r="Q33" i="1"/>
  <c r="Q35" i="1"/>
  <c r="F16" i="1"/>
  <c r="C17" i="1"/>
  <c r="Q32" i="1"/>
  <c r="Q31" i="1"/>
  <c r="Q21" i="1"/>
  <c r="Q22" i="1"/>
  <c r="Q23" i="1"/>
  <c r="Q24" i="1"/>
  <c r="Q26" i="1"/>
  <c r="Q27" i="1"/>
  <c r="Q28" i="1"/>
  <c r="Q29" i="1"/>
  <c r="Q30" i="1"/>
  <c r="Q25" i="1"/>
  <c r="E12" i="2"/>
  <c r="E17" i="2"/>
  <c r="E13" i="2"/>
  <c r="E14" i="2"/>
  <c r="E33" i="1"/>
  <c r="F33" i="1"/>
  <c r="G40" i="1"/>
  <c r="K40" i="1"/>
  <c r="E44" i="1"/>
  <c r="F44" i="1"/>
  <c r="G44" i="1"/>
  <c r="K44" i="1"/>
  <c r="E38" i="1"/>
  <c r="F38" i="1"/>
  <c r="E30" i="1"/>
  <c r="F30" i="1"/>
  <c r="G30" i="1"/>
  <c r="K30" i="1"/>
  <c r="G24" i="1"/>
  <c r="J24" i="1"/>
  <c r="E22" i="1"/>
  <c r="F22" i="1"/>
  <c r="G47" i="1"/>
  <c r="K47" i="1"/>
  <c r="E35" i="1"/>
  <c r="F35" i="1"/>
  <c r="G35" i="1"/>
  <c r="K35" i="1"/>
  <c r="G29" i="1"/>
  <c r="K29" i="1"/>
  <c r="E27" i="1"/>
  <c r="F27" i="1"/>
  <c r="G27" i="1"/>
  <c r="J27" i="1"/>
  <c r="E40" i="1"/>
  <c r="F40" i="1"/>
  <c r="G34" i="1"/>
  <c r="J34" i="1"/>
  <c r="E32" i="1"/>
  <c r="F32" i="1"/>
  <c r="G32" i="1"/>
  <c r="K32" i="1"/>
  <c r="E24" i="1"/>
  <c r="F24" i="1"/>
  <c r="G39" i="1"/>
  <c r="K39" i="1"/>
  <c r="E45" i="1"/>
  <c r="F45" i="1"/>
  <c r="G45" i="1"/>
  <c r="K45" i="1"/>
  <c r="E47" i="1"/>
  <c r="F47" i="1"/>
  <c r="E37" i="1"/>
  <c r="F37" i="1"/>
  <c r="G37" i="1"/>
  <c r="J37" i="1"/>
  <c r="G31" i="1"/>
  <c r="K31" i="1"/>
  <c r="E29" i="1"/>
  <c r="F29" i="1"/>
  <c r="G23" i="1"/>
  <c r="J23" i="1"/>
  <c r="E21" i="1"/>
  <c r="F21" i="1"/>
  <c r="G21" i="1"/>
  <c r="J21" i="1"/>
  <c r="G43" i="1"/>
  <c r="K43" i="1"/>
  <c r="E34" i="1"/>
  <c r="F34" i="1"/>
  <c r="E26" i="1"/>
  <c r="F26" i="1"/>
  <c r="G26" i="1"/>
  <c r="J26" i="1"/>
  <c r="E39" i="1"/>
  <c r="F39" i="1"/>
  <c r="G46" i="1"/>
  <c r="K46" i="1"/>
  <c r="E41" i="1"/>
  <c r="F41" i="1"/>
  <c r="G41" i="1"/>
  <c r="J41" i="1"/>
  <c r="G33" i="1"/>
  <c r="E31" i="1"/>
  <c r="F31" i="1"/>
  <c r="G25" i="1"/>
  <c r="K25" i="1"/>
  <c r="E23" i="1"/>
  <c r="F23" i="1"/>
  <c r="E43" i="1"/>
  <c r="F43" i="1"/>
  <c r="G38" i="1"/>
  <c r="J38" i="1"/>
  <c r="E36" i="1"/>
  <c r="F36" i="1"/>
  <c r="G36" i="1"/>
  <c r="J36" i="1"/>
  <c r="E28" i="1"/>
  <c r="F28" i="1"/>
  <c r="G28" i="1"/>
  <c r="J28" i="1"/>
  <c r="G22" i="1"/>
  <c r="J22" i="1"/>
  <c r="E42" i="1"/>
  <c r="F42" i="1"/>
  <c r="G42" i="1"/>
  <c r="K42" i="1"/>
  <c r="E11" i="2"/>
  <c r="K33" i="1"/>
  <c r="E15" i="2"/>
  <c r="E16" i="2"/>
  <c r="C11" i="1"/>
  <c r="C12" i="1"/>
  <c r="O49" i="1" l="1"/>
  <c r="O48" i="1"/>
  <c r="C16" i="1"/>
  <c r="D18" i="1" s="1"/>
  <c r="O27" i="1"/>
  <c r="O23" i="1"/>
  <c r="O42" i="1"/>
  <c r="O40" i="1"/>
  <c r="O25" i="1"/>
  <c r="O28" i="1"/>
  <c r="O44" i="1"/>
  <c r="O31" i="1"/>
  <c r="O46" i="1"/>
  <c r="O47" i="1"/>
  <c r="O37" i="1"/>
  <c r="O43" i="1"/>
  <c r="O38" i="1"/>
  <c r="O39" i="1"/>
  <c r="O41" i="1"/>
  <c r="O35" i="1"/>
  <c r="O45" i="1"/>
  <c r="O36" i="1"/>
  <c r="O33" i="1"/>
  <c r="O21" i="1"/>
  <c r="O22" i="1"/>
  <c r="O30" i="1"/>
  <c r="O34" i="1"/>
  <c r="C15" i="1"/>
  <c r="F18" i="1" s="1"/>
  <c r="O24" i="1"/>
  <c r="O26" i="1"/>
  <c r="O32" i="1"/>
  <c r="O29" i="1"/>
  <c r="F17" i="1"/>
  <c r="F19" i="1" l="1"/>
  <c r="C18" i="1"/>
</calcChain>
</file>

<file path=xl/sharedStrings.xml><?xml version="1.0" encoding="utf-8"?>
<sst xmlns="http://schemas.openxmlformats.org/spreadsheetml/2006/main" count="170" uniqueCount="103">
  <si>
    <t>IBVS 6244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</si>
  <si>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</si>
  <si>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</si>
  <si>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</si>
  <si>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</si>
  <si>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</si>
  <si>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</si>
  <si>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</si>
  <si>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</si>
  <si>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</si>
  <si>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</si>
  <si>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</si>
  <si>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</si>
  <si>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</si>
  <si>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</si>
  <si>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</si>
  <si>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</si>
  <si>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</si>
  <si>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</si>
  <si>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</si>
  <si>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</si>
  <si>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</si>
  <si>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</si>
  <si>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</si>
  <si>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</si>
  <si>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</si>
  <si>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</si>
  <si>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</si>
  <si>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</si>
  <si>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</si>
  <si>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</si>
  <si>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</si>
  <si>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</si>
  <si>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</si>
  <si>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</si>
  <si>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</si>
  <si>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5699 Eph.</t>
  </si>
  <si>
    <t>IBVS 5699</t>
  </si>
  <si>
    <t>IBVS 5781</t>
  </si>
  <si>
    <t>II</t>
  </si>
  <si>
    <t>I</t>
  </si>
  <si>
    <t>IBVS 5713</t>
  </si>
  <si>
    <t>IBVS 5929</t>
  </si>
  <si>
    <t>IBVS 5920</t>
  </si>
  <si>
    <t>Add cycle</t>
  </si>
  <si>
    <t>Old Cycle</t>
  </si>
  <si>
    <t>GG CVn / GSC 2544-1090</t>
  </si>
  <si>
    <t>IBVS 6029</t>
  </si>
  <si>
    <t>IBVS 6070</t>
  </si>
  <si>
    <t>IBVS 6084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</si>
  <si>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</si>
  <si>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</si>
  <si>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</si>
  <si>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</si>
  <si>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</si>
  <si>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</si>
  <si>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</si>
  <si>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</si>
  <si>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</si>
  <si>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</si>
  <si>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</si>
  <si>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</si>
  <si>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</si>
  <si>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2456002.9185 </t>
  </si>
  <si>
    <t> 16.03.2012 10:02 </t>
  </si>
  <si>
    <t> 0.0000 </t>
  </si>
  <si>
    <t>C </t>
  </si>
  <si>
    <t> R.Diethelm </t>
  </si>
  <si>
    <t>IBVS 6029 </t>
  </si>
  <si>
    <t>2456069.4979 </t>
  </si>
  <si>
    <t> 21.05.2012 23:56 </t>
  </si>
  <si>
    <t> 0.0032 </t>
  </si>
  <si>
    <t>-I</t>
  </si>
  <si>
    <t> F.Agerer </t>
  </si>
  <si>
    <t>BAVM 231 </t>
  </si>
  <si>
    <t>2456085.7061 </t>
  </si>
  <si>
    <t> 07.06.2012 04:56 </t>
  </si>
  <si>
    <t>214.5</t>
  </si>
  <si>
    <t> 0.0015 </t>
  </si>
  <si>
    <t>2456418.3903 </t>
  </si>
  <si>
    <t> 05.05.2013 21:22 </t>
  </si>
  <si>
    <t>1076.5</t>
  </si>
  <si>
    <t> -0.0025 </t>
  </si>
  <si>
    <t>BAVM 232 </t>
  </si>
  <si>
    <t>2457066.975 </t>
  </si>
  <si>
    <t> 13.02.2015 11:24 </t>
  </si>
  <si>
    <t>2757</t>
  </si>
  <si>
    <t> -0.005 </t>
  </si>
  <si>
    <t> W.Moschner &amp; P.Frank </t>
  </si>
  <si>
    <t>BAVM 241 (=IBVS 6157) </t>
  </si>
  <si>
    <t>2457069.4820 </t>
  </si>
  <si>
    <t> 15.02.2015 23:34 </t>
  </si>
  <si>
    <t>2763.5</t>
  </si>
  <si>
    <t> -0.0071 </t>
  </si>
  <si>
    <t>o</t>
  </si>
  <si>
    <t>BAVM 239 </t>
  </si>
  <si>
    <t>2457122.3578 </t>
  </si>
  <si>
    <t> 09.04.2015 20:35 </t>
  </si>
  <si>
    <t>2900.5</t>
  </si>
  <si>
    <t> -0.0064 </t>
  </si>
  <si>
    <t>BAD?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</si>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</sst>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12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8" xfId="0" applyFont="1" applyBorder="1" applyAlignment="1">
      <alignment horizontal="center"/>
    </xf>
    <xf numFmtId="0" fontId="34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43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2544-1090 -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58-4CA3-A81B-60D6006F3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58-4CA3-A81B-60D6006F3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-5.66999995498918E-4</c:v>
                </c:pt>
                <c:pt idx="1">
                  <c:v>-2.9199999698903412E-4</c:v>
                </c:pt>
                <c:pt idx="2">
                  <c:v>-1.1809999923571013E-3</c:v>
                </c:pt>
                <c:pt idx="3">
                  <c:v>7.7299999975366518E-4</c:v>
                </c:pt>
                <c:pt idx="5">
                  <c:v>5.0000000192085281E-4</c:v>
                </c:pt>
                <c:pt idx="6">
                  <c:v>4.0900000021792948E-4</c:v>
                </c:pt>
                <c:pt idx="7">
                  <c:v>2.7900000713998452E-4</c:v>
                </c:pt>
                <c:pt idx="13">
                  <c:v>2.5154000002657995E-2</c:v>
                </c:pt>
                <c:pt idx="15">
                  <c:v>2.2369999998772983E-2</c:v>
                </c:pt>
                <c:pt idx="16">
                  <c:v>2.4816999997710809E-2</c:v>
                </c:pt>
                <c:pt idx="17">
                  <c:v>2.3168000006990042E-2</c:v>
                </c:pt>
                <c:pt idx="20">
                  <c:v>2.4365999997826293E-2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58-4CA3-A81B-60D6006F3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">
                  <c:v>0</c:v>
                </c:pt>
                <c:pt idx="8">
                  <c:v>-1.1829999930341728E-3</c:v>
                </c:pt>
                <c:pt idx="9">
                  <c:v>8.5140000010142103E-3</c:v>
                </c:pt>
                <c:pt idx="10">
                  <c:v>1.1153000006743241E-2</c:v>
                </c:pt>
                <c:pt idx="11">
                  <c:v>1.9379999997909181E-2</c:v>
                </c:pt>
                <c:pt idx="12">
                  <c:v>2.1439000003738329E-2</c:v>
                </c:pt>
                <c:pt idx="14">
                  <c:v>2.3622000007890165E-2</c:v>
                </c:pt>
                <c:pt idx="18">
                  <c:v>2.4013000002014451E-2</c:v>
                </c:pt>
                <c:pt idx="19">
                  <c:v>2.7398999998695217E-2</c:v>
                </c:pt>
                <c:pt idx="21">
                  <c:v>2.734999999665888E-2</c:v>
                </c:pt>
                <c:pt idx="22">
                  <c:v>2.6495999998587649E-2</c:v>
                </c:pt>
                <c:pt idx="23">
                  <c:v>2.6807000002008863E-2</c:v>
                </c:pt>
                <c:pt idx="24">
                  <c:v>2.6834000003873371E-2</c:v>
                </c:pt>
                <c:pt idx="25">
                  <c:v>2.3227000005135778E-2</c:v>
                </c:pt>
                <c:pt idx="26">
                  <c:v>2.2354000007908326E-2</c:v>
                </c:pt>
                <c:pt idx="27">
                  <c:v>1.7556999999214895E-2</c:v>
                </c:pt>
                <c:pt idx="28">
                  <c:v>1.6384000002290122E-2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58-4CA3-A81B-60D6006F3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58-4CA3-A81B-60D6006F3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58-4CA3-A81B-60D6006F3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6.9999999999999999E-4</c:v>
                  </c:pt>
                  <c:pt idx="1">
                    <c:v>8.0000000000000004E-4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0</c:v>
                  </c:pt>
                  <c:pt idx="5">
                    <c:v>2.3999999999999998E-3</c:v>
                  </c:pt>
                  <c:pt idx="6">
                    <c:v>1.2999999999999999E-3</c:v>
                  </c:pt>
                  <c:pt idx="7">
                    <c:v>6.9999999999999999E-4</c:v>
                  </c:pt>
                  <c:pt idx="8">
                    <c:v>3.0000000000000001E-3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4.0000000000000002E-4</c:v>
                  </c:pt>
                  <c:pt idx="13">
                    <c:v>3.8E-3</c:v>
                  </c:pt>
                  <c:pt idx="14">
                    <c:v>2.0000000000000001E-4</c:v>
                  </c:pt>
                  <c:pt idx="15">
                    <c:v>9.1999999999999998E-3</c:v>
                  </c:pt>
                  <c:pt idx="16">
                    <c:v>1E-3</c:v>
                  </c:pt>
                  <c:pt idx="17">
                    <c:v>2.0000000000000001E-4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2.0999999999999999E-3</c:v>
                  </c:pt>
                  <c:pt idx="24">
                    <c:v>8.0000000000000004E-4</c:v>
                  </c:pt>
                  <c:pt idx="25">
                    <c:v>4.0000000000000002E-4</c:v>
                  </c:pt>
                  <c:pt idx="26">
                    <c:v>1E-3</c:v>
                  </c:pt>
                  <c:pt idx="27">
                    <c:v>5.9999999999999995E-4</c:v>
                  </c:pt>
                  <c:pt idx="28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58-4CA3-A81B-60D6006F3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3.0703827291629369E-2</c:v>
                </c:pt>
                <c:pt idx="1">
                  <c:v>3.0591681581137758E-2</c:v>
                </c:pt>
                <c:pt idx="2">
                  <c:v>3.0559590654750928E-2</c:v>
                </c:pt>
                <c:pt idx="3">
                  <c:v>3.0489887782383835E-2</c:v>
                </c:pt>
                <c:pt idx="4">
                  <c:v>3.0489542718659245E-2</c:v>
                </c:pt>
                <c:pt idx="5">
                  <c:v>3.0489542718659245E-2</c:v>
                </c:pt>
                <c:pt idx="6">
                  <c:v>3.0466423449111744E-2</c:v>
                </c:pt>
                <c:pt idx="7">
                  <c:v>3.0462972811865847E-2</c:v>
                </c:pt>
                <c:pt idx="8">
                  <c:v>2.9636890255198407E-2</c:v>
                </c:pt>
                <c:pt idx="9">
                  <c:v>2.9288030829638347E-2</c:v>
                </c:pt>
                <c:pt idx="10">
                  <c:v>2.7957120043896361E-2</c:v>
                </c:pt>
                <c:pt idx="11">
                  <c:v>2.7784243117876986E-2</c:v>
                </c:pt>
                <c:pt idx="12">
                  <c:v>2.6018552039152133E-2</c:v>
                </c:pt>
                <c:pt idx="13">
                  <c:v>2.5899505054168732E-2</c:v>
                </c:pt>
                <c:pt idx="14">
                  <c:v>2.5870519701303208E-2</c:v>
                </c:pt>
                <c:pt idx="15">
                  <c:v>2.527562984011078E-2</c:v>
                </c:pt>
                <c:pt idx="16">
                  <c:v>2.4115870661765224E-2</c:v>
                </c:pt>
                <c:pt idx="17">
                  <c:v>2.4111384833345559E-2</c:v>
                </c:pt>
                <c:pt idx="18">
                  <c:v>2.4057899956034176E-2</c:v>
                </c:pt>
                <c:pt idx="19">
                  <c:v>2.4027534348270291E-2</c:v>
                </c:pt>
                <c:pt idx="20">
                  <c:v>2.4016837372808016E-2</c:v>
                </c:pt>
                <c:pt idx="21">
                  <c:v>2.3995443421883464E-2</c:v>
                </c:pt>
                <c:pt idx="22">
                  <c:v>2.3433679678251634E-2</c:v>
                </c:pt>
                <c:pt idx="23">
                  <c:v>2.3401588751864804E-2</c:v>
                </c:pt>
                <c:pt idx="24">
                  <c:v>2.3401243688140214E-2</c:v>
                </c:pt>
                <c:pt idx="25">
                  <c:v>2.2759770224128197E-2</c:v>
                </c:pt>
                <c:pt idx="26">
                  <c:v>2.2759425160403607E-2</c:v>
                </c:pt>
                <c:pt idx="27">
                  <c:v>2.0106230182034373E-2</c:v>
                </c:pt>
                <c:pt idx="28">
                  <c:v>2.0105885118309783E-2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58-4CA3-A81B-60D6006F30A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-310.5</c:v>
                </c:pt>
                <c:pt idx="1">
                  <c:v>-148</c:v>
                </c:pt>
                <c:pt idx="2">
                  <c:v>-101.5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33.5</c:v>
                </c:pt>
                <c:pt idx="7">
                  <c:v>38.5</c:v>
                </c:pt>
                <c:pt idx="8">
                  <c:v>1235.5</c:v>
                </c:pt>
                <c:pt idx="9">
                  <c:v>1741</c:v>
                </c:pt>
                <c:pt idx="10">
                  <c:v>3669.5</c:v>
                </c:pt>
                <c:pt idx="11">
                  <c:v>3920</c:v>
                </c:pt>
                <c:pt idx="12">
                  <c:v>6478.5</c:v>
                </c:pt>
                <c:pt idx="13">
                  <c:v>6651</c:v>
                </c:pt>
                <c:pt idx="14">
                  <c:v>6693</c:v>
                </c:pt>
                <c:pt idx="15">
                  <c:v>7555</c:v>
                </c:pt>
                <c:pt idx="16">
                  <c:v>9235.5</c:v>
                </c:pt>
                <c:pt idx="17">
                  <c:v>9242</c:v>
                </c:pt>
                <c:pt idx="18">
                  <c:v>9319.5</c:v>
                </c:pt>
                <c:pt idx="19">
                  <c:v>9363.5</c:v>
                </c:pt>
                <c:pt idx="20">
                  <c:v>9379</c:v>
                </c:pt>
                <c:pt idx="21">
                  <c:v>9410</c:v>
                </c:pt>
                <c:pt idx="22">
                  <c:v>10224</c:v>
                </c:pt>
                <c:pt idx="23">
                  <c:v>10270.5</c:v>
                </c:pt>
                <c:pt idx="24">
                  <c:v>10271</c:v>
                </c:pt>
                <c:pt idx="25">
                  <c:v>11200.5</c:v>
                </c:pt>
                <c:pt idx="26">
                  <c:v>11201</c:v>
                </c:pt>
                <c:pt idx="27">
                  <c:v>15045.5</c:v>
                </c:pt>
                <c:pt idx="28">
                  <c:v>15046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58-4CA3-A81B-60D6006F3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134296"/>
        <c:axId val="1"/>
      </c:scatterChart>
      <c:valAx>
        <c:axId val="582134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134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53064690443099"/>
          <c:w val="0.7368421052631577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363A8B-5A28-BAC6-FB18-0F0CB283E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konkoly.hu/cgi-bin/IBVS?6029" TargetMode="External"/><Relationship Id="rId6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3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t="s">
        <v>35</v>
      </c>
      <c r="C2" s="3"/>
      <c r="D2" s="3"/>
    </row>
    <row r="3" spans="1:6" ht="13.5" thickBot="1" x14ac:dyDescent="0.25"/>
    <row r="4" spans="1:6" ht="13.5" thickBot="1" x14ac:dyDescent="0.25">
      <c r="A4" s="28" t="s">
        <v>36</v>
      </c>
      <c r="C4" s="26">
        <v>53502.545899999997</v>
      </c>
      <c r="D4" s="27">
        <v>0.38594600000000001</v>
      </c>
    </row>
    <row r="5" spans="1:6" x14ac:dyDescent="0.2">
      <c r="A5" s="9" t="s">
        <v>29</v>
      </c>
      <c r="B5" s="10"/>
      <c r="C5" s="11">
        <v>-9.5</v>
      </c>
      <c r="D5" s="10" t="s">
        <v>30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53502.545899999997</v>
      </c>
    </row>
    <row r="8" spans="1:6" x14ac:dyDescent="0.2">
      <c r="A8" t="s">
        <v>4</v>
      </c>
      <c r="C8">
        <f>+D4</f>
        <v>0.38594600000000001</v>
      </c>
    </row>
    <row r="9" spans="1:6" x14ac:dyDescent="0.2">
      <c r="A9" s="24" t="s">
        <v>34</v>
      </c>
      <c r="B9" s="25">
        <v>33</v>
      </c>
      <c r="C9" s="22" t="str">
        <f>"F"&amp;B9</f>
        <v>F33</v>
      </c>
      <c r="D9" s="23" t="str">
        <f>"G"&amp;B9</f>
        <v>G33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16</v>
      </c>
      <c r="B11" s="10"/>
      <c r="C11" s="21">
        <f ca="1">INTERCEPT(INDIRECT($D$9):G992,INDIRECT($C$9):F992)</f>
        <v>3.0489542718659245E-2</v>
      </c>
      <c r="D11" s="3"/>
      <c r="E11" s="10"/>
    </row>
    <row r="12" spans="1:6" x14ac:dyDescent="0.2">
      <c r="A12" s="10" t="s">
        <v>17</v>
      </c>
      <c r="B12" s="10"/>
      <c r="C12" s="21">
        <f ca="1">SLOPE(INDIRECT($D$9):G992,INDIRECT($C$9):F992)</f>
        <v>-6.9012744917914801E-7</v>
      </c>
      <c r="D12" s="3"/>
      <c r="E12" s="10"/>
    </row>
    <row r="13" spans="1:6" x14ac:dyDescent="0.2">
      <c r="A13" s="10" t="s">
        <v>19</v>
      </c>
      <c r="B13" s="10"/>
      <c r="C13" s="3" t="s">
        <v>14</v>
      </c>
    </row>
    <row r="14" spans="1:6" x14ac:dyDescent="0.2">
      <c r="A14" s="10"/>
      <c r="B14" s="10"/>
      <c r="C14" s="10"/>
    </row>
    <row r="15" spans="1:6" x14ac:dyDescent="0.2">
      <c r="A15" s="12" t="s">
        <v>18</v>
      </c>
      <c r="B15" s="10"/>
      <c r="C15" s="13">
        <f ca="1">(C7+C11)+(C8+C12)*INT(MAX(F21:F3533))</f>
        <v>59309.509521885113</v>
      </c>
      <c r="E15" s="14" t="s">
        <v>44</v>
      </c>
      <c r="F15" s="11">
        <v>1</v>
      </c>
    </row>
    <row r="16" spans="1:6" x14ac:dyDescent="0.2">
      <c r="A16" s="16" t="s">
        <v>5</v>
      </c>
      <c r="B16" s="10"/>
      <c r="C16" s="17">
        <f ca="1">+C8+C12</f>
        <v>0.38594530987255082</v>
      </c>
      <c r="E16" s="14" t="s">
        <v>31</v>
      </c>
      <c r="F16" s="15">
        <f ca="1">NOW()+15018.5+$C$5/24</f>
        <v>59956.696870254629</v>
      </c>
    </row>
    <row r="17" spans="1:21" ht="13.5" thickBot="1" x14ac:dyDescent="0.25">
      <c r="A17" s="14" t="s">
        <v>28</v>
      </c>
      <c r="B17" s="10"/>
      <c r="C17" s="10">
        <f>COUNT(C21:C2191)</f>
        <v>29</v>
      </c>
      <c r="E17" s="14" t="s">
        <v>45</v>
      </c>
      <c r="F17" s="15">
        <f ca="1">ROUND(2*(F16-$C$7)/$C$8,0)/2+F15</f>
        <v>16724</v>
      </c>
    </row>
    <row r="18" spans="1:21" ht="14.25" thickTop="1" thickBot="1" x14ac:dyDescent="0.25">
      <c r="A18" s="16" t="s">
        <v>6</v>
      </c>
      <c r="B18" s="10"/>
      <c r="C18" s="19">
        <f ca="1">+C15</f>
        <v>59309.509521885113</v>
      </c>
      <c r="D18" s="20">
        <f ca="1">+C16</f>
        <v>0.38594530987255082</v>
      </c>
      <c r="E18" s="14" t="s">
        <v>32</v>
      </c>
      <c r="F18" s="23">
        <f ca="1">ROUND(2*(F16-$C$15)/$C$16,0)/2+F15</f>
        <v>1678</v>
      </c>
    </row>
    <row r="19" spans="1:21" ht="13.5" thickTop="1" x14ac:dyDescent="0.2">
      <c r="E19" s="14" t="s">
        <v>33</v>
      </c>
      <c r="F19" s="18">
        <f ca="1">+$C$15+$C$16*F18-15018.5-$C$5/24</f>
        <v>44939.021585184586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59</v>
      </c>
      <c r="I20" s="7" t="s">
        <v>62</v>
      </c>
      <c r="J20" s="7" t="s">
        <v>56</v>
      </c>
      <c r="K20" s="7" t="s">
        <v>54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0" t="s">
        <v>100</v>
      </c>
    </row>
    <row r="21" spans="1:21" x14ac:dyDescent="0.2">
      <c r="A21" t="s">
        <v>41</v>
      </c>
      <c r="B21" s="3" t="s">
        <v>39</v>
      </c>
      <c r="C21" s="8">
        <v>53382.7091</v>
      </c>
      <c r="D21" s="8">
        <v>6.9999999999999999E-4</v>
      </c>
      <c r="E21">
        <f t="shared" ref="E21:E45" si="0">+(C21-C$7)/C$8</f>
        <v>-310.50146911743434</v>
      </c>
      <c r="F21">
        <f t="shared" ref="F21:F47" si="1">ROUND(2*E21,0)/2</f>
        <v>-310.5</v>
      </c>
      <c r="G21">
        <f t="shared" ref="G21:G45" si="2">+C21-(C$7+F21*C$8)</f>
        <v>-5.66999995498918E-4</v>
      </c>
      <c r="J21">
        <f>+G21</f>
        <v>-5.66999995498918E-4</v>
      </c>
      <c r="O21">
        <f t="shared" ref="O21:O45" ca="1" si="3">+C$11+C$12*$F21</f>
        <v>3.0703827291629369E-2</v>
      </c>
      <c r="Q21" s="2">
        <f t="shared" ref="Q21:Q45" si="4">+C21-15018.5</f>
        <v>38364.2091</v>
      </c>
    </row>
    <row r="22" spans="1:21" x14ac:dyDescent="0.2">
      <c r="A22" t="s">
        <v>41</v>
      </c>
      <c r="B22" s="3" t="s">
        <v>40</v>
      </c>
      <c r="C22" s="8">
        <v>53445.425600000002</v>
      </c>
      <c r="D22" s="8">
        <v>8.0000000000000004E-4</v>
      </c>
      <c r="E22">
        <f t="shared" si="0"/>
        <v>-148.00075658251424</v>
      </c>
      <c r="F22">
        <f t="shared" si="1"/>
        <v>-148</v>
      </c>
      <c r="G22">
        <f t="shared" si="2"/>
        <v>-2.9199999698903412E-4</v>
      </c>
      <c r="J22">
        <f>+G22</f>
        <v>-2.9199999698903412E-4</v>
      </c>
      <c r="O22">
        <f t="shared" ca="1" si="3"/>
        <v>3.0591681581137758E-2</v>
      </c>
      <c r="Q22" s="2">
        <f t="shared" si="4"/>
        <v>38426.925600000002</v>
      </c>
    </row>
    <row r="23" spans="1:21" x14ac:dyDescent="0.2">
      <c r="A23" t="s">
        <v>41</v>
      </c>
      <c r="B23" s="3" t="s">
        <v>39</v>
      </c>
      <c r="C23" s="8">
        <v>53463.371200000001</v>
      </c>
      <c r="D23" s="8">
        <v>1.2999999999999999E-3</v>
      </c>
      <c r="E23">
        <f t="shared" si="0"/>
        <v>-101.5030600135665</v>
      </c>
      <c r="F23">
        <f t="shared" si="1"/>
        <v>-101.5</v>
      </c>
      <c r="G23">
        <f t="shared" si="2"/>
        <v>-1.1809999923571013E-3</v>
      </c>
      <c r="J23">
        <f>+G23</f>
        <v>-1.1809999923571013E-3</v>
      </c>
      <c r="O23">
        <f t="shared" ca="1" si="3"/>
        <v>3.0559590654750928E-2</v>
      </c>
      <c r="Q23" s="2">
        <f t="shared" si="4"/>
        <v>38444.871200000001</v>
      </c>
    </row>
    <row r="24" spans="1:21" x14ac:dyDescent="0.2">
      <c r="A24" t="s">
        <v>41</v>
      </c>
      <c r="B24" s="3" t="s">
        <v>39</v>
      </c>
      <c r="C24" s="8">
        <v>53502.3537</v>
      </c>
      <c r="D24" s="8">
        <v>2.3E-3</v>
      </c>
      <c r="E24">
        <f t="shared" si="0"/>
        <v>-0.49799712912605215</v>
      </c>
      <c r="F24">
        <f t="shared" si="1"/>
        <v>-0.5</v>
      </c>
      <c r="G24">
        <f t="shared" si="2"/>
        <v>7.7299999975366518E-4</v>
      </c>
      <c r="J24">
        <f>+G24</f>
        <v>7.7299999975366518E-4</v>
      </c>
      <c r="O24">
        <f t="shared" ca="1" si="3"/>
        <v>3.0489887782383835E-2</v>
      </c>
      <c r="Q24" s="2">
        <f t="shared" si="4"/>
        <v>38483.8537</v>
      </c>
    </row>
    <row r="25" spans="1:21" x14ac:dyDescent="0.2">
      <c r="A25" t="s">
        <v>37</v>
      </c>
      <c r="C25" s="8">
        <v>53502.545899999997</v>
      </c>
      <c r="D25" s="8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K25">
        <f>+G25</f>
        <v>0</v>
      </c>
      <c r="O25">
        <f t="shared" ca="1" si="3"/>
        <v>3.0489542718659245E-2</v>
      </c>
      <c r="Q25" s="2">
        <f t="shared" si="4"/>
        <v>38484.045899999997</v>
      </c>
    </row>
    <row r="26" spans="1:21" x14ac:dyDescent="0.2">
      <c r="A26" t="s">
        <v>41</v>
      </c>
      <c r="B26" s="3" t="s">
        <v>40</v>
      </c>
      <c r="C26" s="8">
        <v>53502.546399999999</v>
      </c>
      <c r="D26" s="8">
        <v>2.3999999999999998E-3</v>
      </c>
      <c r="E26">
        <f t="shared" si="0"/>
        <v>1.2955180308148104E-3</v>
      </c>
      <c r="F26">
        <f t="shared" si="1"/>
        <v>0</v>
      </c>
      <c r="G26">
        <f t="shared" si="2"/>
        <v>5.0000000192085281E-4</v>
      </c>
      <c r="J26">
        <f>+G26</f>
        <v>5.0000000192085281E-4</v>
      </c>
      <c r="O26">
        <f t="shared" ca="1" si="3"/>
        <v>3.0489542718659245E-2</v>
      </c>
      <c r="Q26" s="2">
        <f t="shared" si="4"/>
        <v>38484.046399999999</v>
      </c>
    </row>
    <row r="27" spans="1:21" x14ac:dyDescent="0.2">
      <c r="A27" t="s">
        <v>41</v>
      </c>
      <c r="B27" s="3" t="s">
        <v>39</v>
      </c>
      <c r="C27" s="8">
        <v>53515.4755</v>
      </c>
      <c r="D27" s="8">
        <v>1.2999999999999999E-3</v>
      </c>
      <c r="E27">
        <f t="shared" si="0"/>
        <v>33.501059733753216</v>
      </c>
      <c r="F27">
        <f t="shared" si="1"/>
        <v>33.5</v>
      </c>
      <c r="G27">
        <f t="shared" si="2"/>
        <v>4.0900000021792948E-4</v>
      </c>
      <c r="J27">
        <f>+G27</f>
        <v>4.0900000021792948E-4</v>
      </c>
      <c r="O27">
        <f t="shared" ca="1" si="3"/>
        <v>3.0466423449111744E-2</v>
      </c>
      <c r="Q27" s="2">
        <f t="shared" si="4"/>
        <v>38496.9755</v>
      </c>
    </row>
    <row r="28" spans="1:21" x14ac:dyDescent="0.2">
      <c r="A28" t="s">
        <v>41</v>
      </c>
      <c r="B28" s="3" t="s">
        <v>39</v>
      </c>
      <c r="C28" s="8">
        <v>53517.405100000004</v>
      </c>
      <c r="D28" s="8">
        <v>6.9999999999999999E-4</v>
      </c>
      <c r="E28">
        <f t="shared" si="0"/>
        <v>38.500722899074582</v>
      </c>
      <c r="F28">
        <f t="shared" si="1"/>
        <v>38.5</v>
      </c>
      <c r="G28">
        <f t="shared" si="2"/>
        <v>2.7900000713998452E-4</v>
      </c>
      <c r="J28">
        <f>+G28</f>
        <v>2.7900000713998452E-4</v>
      </c>
      <c r="O28">
        <f t="shared" ca="1" si="3"/>
        <v>3.0462972811865847E-2</v>
      </c>
      <c r="Q28" s="2">
        <f t="shared" si="4"/>
        <v>38498.905100000004</v>
      </c>
    </row>
    <row r="29" spans="1:21" x14ac:dyDescent="0.2">
      <c r="A29" s="29" t="s">
        <v>38</v>
      </c>
      <c r="B29" s="31" t="s">
        <v>39</v>
      </c>
      <c r="C29" s="32">
        <v>53979.381000000001</v>
      </c>
      <c r="D29" s="32">
        <v>3.0000000000000001E-3</v>
      </c>
      <c r="E29">
        <f t="shared" si="0"/>
        <v>1235.496934804361</v>
      </c>
      <c r="F29">
        <f t="shared" si="1"/>
        <v>1235.5</v>
      </c>
      <c r="G29">
        <f t="shared" si="2"/>
        <v>-1.1829999930341728E-3</v>
      </c>
      <c r="K29">
        <f>+G29</f>
        <v>-1.1829999930341728E-3</v>
      </c>
      <c r="O29">
        <f t="shared" ca="1" si="3"/>
        <v>2.9636890255198407E-2</v>
      </c>
      <c r="Q29" s="2">
        <f t="shared" si="4"/>
        <v>38960.881000000001</v>
      </c>
    </row>
    <row r="30" spans="1:21" x14ac:dyDescent="0.2">
      <c r="A30" s="29" t="s">
        <v>38</v>
      </c>
      <c r="B30" s="31" t="s">
        <v>40</v>
      </c>
      <c r="C30" s="32">
        <v>54174.486400000002</v>
      </c>
      <c r="D30" s="32">
        <v>6.9999999999999999E-4</v>
      </c>
      <c r="E30">
        <f t="shared" si="0"/>
        <v>1741.0220600809548</v>
      </c>
      <c r="F30">
        <f t="shared" si="1"/>
        <v>1741</v>
      </c>
      <c r="G30">
        <f t="shared" si="2"/>
        <v>8.5140000010142103E-3</v>
      </c>
      <c r="K30">
        <f>+G30</f>
        <v>8.5140000010142103E-3</v>
      </c>
      <c r="O30">
        <f t="shared" ca="1" si="3"/>
        <v>2.9288030829638347E-2</v>
      </c>
      <c r="Q30" s="2">
        <f t="shared" si="4"/>
        <v>39155.986400000002</v>
      </c>
    </row>
    <row r="31" spans="1:21" x14ac:dyDescent="0.2">
      <c r="A31" s="33" t="s">
        <v>42</v>
      </c>
      <c r="B31" s="34"/>
      <c r="C31" s="32">
        <v>54918.785900000003</v>
      </c>
      <c r="D31" s="32">
        <v>2.9999999999999997E-4</v>
      </c>
      <c r="E31">
        <f t="shared" si="0"/>
        <v>3669.5288978250978</v>
      </c>
      <c r="F31">
        <f t="shared" si="1"/>
        <v>3669.5</v>
      </c>
      <c r="G31">
        <f t="shared" si="2"/>
        <v>1.1153000006743241E-2</v>
      </c>
      <c r="K31">
        <f>+G31</f>
        <v>1.1153000006743241E-2</v>
      </c>
      <c r="O31">
        <f t="shared" ca="1" si="3"/>
        <v>2.7957120043896361E-2</v>
      </c>
      <c r="Q31" s="2">
        <f t="shared" si="4"/>
        <v>39900.285900000003</v>
      </c>
    </row>
    <row r="32" spans="1:21" x14ac:dyDescent="0.2">
      <c r="A32" s="29" t="s">
        <v>43</v>
      </c>
      <c r="B32" s="30" t="s">
        <v>40</v>
      </c>
      <c r="C32" s="29">
        <v>55015.473599999998</v>
      </c>
      <c r="D32" s="29">
        <v>1.1000000000000001E-3</v>
      </c>
      <c r="E32">
        <f t="shared" si="0"/>
        <v>3920.0502142786818</v>
      </c>
      <c r="F32">
        <f t="shared" si="1"/>
        <v>3920</v>
      </c>
      <c r="G32">
        <f t="shared" si="2"/>
        <v>1.9379999997909181E-2</v>
      </c>
      <c r="K32">
        <f>+G32</f>
        <v>1.9379999997909181E-2</v>
      </c>
      <c r="O32">
        <f t="shared" ca="1" si="3"/>
        <v>2.7784243117876986E-2</v>
      </c>
      <c r="Q32" s="2">
        <f t="shared" si="4"/>
        <v>39996.973599999998</v>
      </c>
    </row>
    <row r="33" spans="1:17" x14ac:dyDescent="0.2">
      <c r="A33" s="32" t="s">
        <v>47</v>
      </c>
      <c r="B33" s="31" t="s">
        <v>39</v>
      </c>
      <c r="C33" s="32">
        <v>56002.9185</v>
      </c>
      <c r="D33" s="32">
        <v>4.0000000000000002E-4</v>
      </c>
      <c r="E33">
        <f t="shared" si="0"/>
        <v>6478.5555492219182</v>
      </c>
      <c r="F33">
        <f t="shared" si="1"/>
        <v>6478.5</v>
      </c>
      <c r="G33">
        <f t="shared" si="2"/>
        <v>2.1439000003738329E-2</v>
      </c>
      <c r="K33">
        <f>+G33</f>
        <v>2.1439000003738329E-2</v>
      </c>
      <c r="O33">
        <f t="shared" ca="1" si="3"/>
        <v>2.6018552039152133E-2</v>
      </c>
      <c r="Q33" s="2">
        <f t="shared" si="4"/>
        <v>40984.4185</v>
      </c>
    </row>
    <row r="34" spans="1:17" x14ac:dyDescent="0.2">
      <c r="A34" s="35" t="s">
        <v>48</v>
      </c>
      <c r="B34" s="31" t="s">
        <v>40</v>
      </c>
      <c r="C34" s="32">
        <v>56069.497900000002</v>
      </c>
      <c r="D34" s="32">
        <v>3.8E-3</v>
      </c>
      <c r="E34">
        <f t="shared" si="0"/>
        <v>6651.0651749208564</v>
      </c>
      <c r="F34">
        <f t="shared" si="1"/>
        <v>6651</v>
      </c>
      <c r="G34">
        <f t="shared" si="2"/>
        <v>2.5154000002657995E-2</v>
      </c>
      <c r="J34">
        <f>+G34</f>
        <v>2.5154000002657995E-2</v>
      </c>
      <c r="O34">
        <f t="shared" ca="1" si="3"/>
        <v>2.5899505054168732E-2</v>
      </c>
      <c r="Q34" s="2">
        <f t="shared" si="4"/>
        <v>41050.997900000002</v>
      </c>
    </row>
    <row r="35" spans="1:17" x14ac:dyDescent="0.2">
      <c r="A35" s="32" t="s">
        <v>47</v>
      </c>
      <c r="B35" s="31" t="s">
        <v>40</v>
      </c>
      <c r="C35" s="32">
        <v>56085.706100000003</v>
      </c>
      <c r="D35" s="32">
        <v>2.0000000000000001E-4</v>
      </c>
      <c r="E35">
        <f t="shared" si="0"/>
        <v>6693.0612054536277</v>
      </c>
      <c r="F35">
        <f t="shared" si="1"/>
        <v>6693</v>
      </c>
      <c r="G35">
        <f t="shared" si="2"/>
        <v>2.3622000007890165E-2</v>
      </c>
      <c r="K35">
        <f>+G35</f>
        <v>2.3622000007890165E-2</v>
      </c>
      <c r="O35">
        <f t="shared" ca="1" si="3"/>
        <v>2.5870519701303208E-2</v>
      </c>
      <c r="Q35" s="2">
        <f t="shared" si="4"/>
        <v>41067.206100000003</v>
      </c>
    </row>
    <row r="36" spans="1:17" x14ac:dyDescent="0.2">
      <c r="A36" s="32" t="s">
        <v>49</v>
      </c>
      <c r="B36" s="31" t="s">
        <v>40</v>
      </c>
      <c r="C36" s="32">
        <v>56418.390299999999</v>
      </c>
      <c r="D36" s="32">
        <v>9.1999999999999998E-3</v>
      </c>
      <c r="E36">
        <f t="shared" si="0"/>
        <v>7555.0579614764802</v>
      </c>
      <c r="F36">
        <f t="shared" si="1"/>
        <v>7555</v>
      </c>
      <c r="G36">
        <f t="shared" si="2"/>
        <v>2.2369999998772983E-2</v>
      </c>
      <c r="J36">
        <f>+G36</f>
        <v>2.2369999998772983E-2</v>
      </c>
      <c r="O36">
        <f t="shared" ca="1" si="3"/>
        <v>2.527562984011078E-2</v>
      </c>
      <c r="Q36" s="2">
        <f t="shared" si="4"/>
        <v>41399.890299999999</v>
      </c>
    </row>
    <row r="37" spans="1:17" x14ac:dyDescent="0.2">
      <c r="A37" s="32" t="s">
        <v>51</v>
      </c>
      <c r="B37" s="31"/>
      <c r="C37" s="32">
        <v>57066.974999999999</v>
      </c>
      <c r="D37" s="32">
        <v>1E-3</v>
      </c>
      <c r="E37">
        <f t="shared" si="0"/>
        <v>9235.5643017416969</v>
      </c>
      <c r="F37">
        <f t="shared" si="1"/>
        <v>9235.5</v>
      </c>
      <c r="G37">
        <f t="shared" si="2"/>
        <v>2.4816999997710809E-2</v>
      </c>
      <c r="J37">
        <f>+G37</f>
        <v>2.4816999997710809E-2</v>
      </c>
      <c r="O37">
        <f t="shared" ca="1" si="3"/>
        <v>2.4115870661765224E-2</v>
      </c>
      <c r="Q37" s="2">
        <f t="shared" si="4"/>
        <v>42048.474999999999</v>
      </c>
    </row>
    <row r="38" spans="1:17" x14ac:dyDescent="0.2">
      <c r="A38" s="36" t="s">
        <v>50</v>
      </c>
      <c r="B38" s="31"/>
      <c r="C38" s="36">
        <v>57069.482000000004</v>
      </c>
      <c r="D38" s="36">
        <v>2.0000000000000001E-4</v>
      </c>
      <c r="E38">
        <f t="shared" si="0"/>
        <v>9242.0600291232604</v>
      </c>
      <c r="F38">
        <f t="shared" si="1"/>
        <v>9242</v>
      </c>
      <c r="G38">
        <f t="shared" si="2"/>
        <v>2.3168000006990042E-2</v>
      </c>
      <c r="J38">
        <f>+G38</f>
        <v>2.3168000006990042E-2</v>
      </c>
      <c r="O38">
        <f t="shared" ca="1" si="3"/>
        <v>2.4111384833345559E-2</v>
      </c>
      <c r="Q38" s="2">
        <f t="shared" si="4"/>
        <v>42050.982000000004</v>
      </c>
    </row>
    <row r="39" spans="1:17" x14ac:dyDescent="0.2">
      <c r="A39" s="52" t="s">
        <v>101</v>
      </c>
      <c r="B39" s="53" t="s">
        <v>40</v>
      </c>
      <c r="C39" s="54">
        <v>57099.393660000002</v>
      </c>
      <c r="D39" s="54">
        <v>2.9999999999999997E-4</v>
      </c>
      <c r="E39">
        <f t="shared" si="0"/>
        <v>9319.5622185487191</v>
      </c>
      <c r="F39">
        <f t="shared" si="1"/>
        <v>9319.5</v>
      </c>
      <c r="G39">
        <f t="shared" si="2"/>
        <v>2.4013000002014451E-2</v>
      </c>
      <c r="K39">
        <f>+G39</f>
        <v>2.4013000002014451E-2</v>
      </c>
      <c r="O39">
        <f t="shared" ca="1" si="3"/>
        <v>2.4057899956034176E-2</v>
      </c>
      <c r="Q39" s="2">
        <f t="shared" si="4"/>
        <v>42080.893660000002</v>
      </c>
    </row>
    <row r="40" spans="1:17" x14ac:dyDescent="0.2">
      <c r="A40" s="52" t="s">
        <v>101</v>
      </c>
      <c r="B40" s="53" t="s">
        <v>40</v>
      </c>
      <c r="C40" s="54">
        <v>57116.378669999998</v>
      </c>
      <c r="D40" s="54">
        <v>4.0000000000000002E-4</v>
      </c>
      <c r="E40">
        <f t="shared" si="0"/>
        <v>9363.5709917967815</v>
      </c>
      <c r="F40">
        <f t="shared" si="1"/>
        <v>9363.5</v>
      </c>
      <c r="G40">
        <f t="shared" si="2"/>
        <v>2.7398999998695217E-2</v>
      </c>
      <c r="K40">
        <f>+G40</f>
        <v>2.7398999998695217E-2</v>
      </c>
      <c r="O40">
        <f t="shared" ca="1" si="3"/>
        <v>2.4027534348270291E-2</v>
      </c>
      <c r="Q40" s="2">
        <f t="shared" si="4"/>
        <v>42097.878669999998</v>
      </c>
    </row>
    <row r="41" spans="1:17" x14ac:dyDescent="0.2">
      <c r="A41" s="32" t="s">
        <v>51</v>
      </c>
      <c r="B41" s="31"/>
      <c r="C41" s="32">
        <v>57122.357799999998</v>
      </c>
      <c r="D41" s="32">
        <v>5.0000000000000001E-4</v>
      </c>
      <c r="E41">
        <f t="shared" si="0"/>
        <v>9379.0631331844361</v>
      </c>
      <c r="F41">
        <f t="shared" si="1"/>
        <v>9379</v>
      </c>
      <c r="G41">
        <f t="shared" si="2"/>
        <v>2.4365999997826293E-2</v>
      </c>
      <c r="J41">
        <f>+G41</f>
        <v>2.4365999997826293E-2</v>
      </c>
      <c r="O41">
        <f t="shared" ca="1" si="3"/>
        <v>2.4016837372808016E-2</v>
      </c>
      <c r="Q41" s="2">
        <f t="shared" si="4"/>
        <v>42103.857799999998</v>
      </c>
    </row>
    <row r="42" spans="1:17" x14ac:dyDescent="0.2">
      <c r="A42" s="52" t="s">
        <v>101</v>
      </c>
      <c r="B42" s="53" t="s">
        <v>39</v>
      </c>
      <c r="C42" s="54">
        <v>57134.325109999998</v>
      </c>
      <c r="D42" s="54">
        <v>5.9999999999999995E-4</v>
      </c>
      <c r="E42">
        <f t="shared" si="0"/>
        <v>9410.0708648360142</v>
      </c>
      <c r="F42">
        <f t="shared" si="1"/>
        <v>9410</v>
      </c>
      <c r="G42">
        <f t="shared" si="2"/>
        <v>2.734999999665888E-2</v>
      </c>
      <c r="K42">
        <f t="shared" ref="K42:K47" si="5">+G42</f>
        <v>2.734999999665888E-2</v>
      </c>
      <c r="O42">
        <f t="shared" ca="1" si="3"/>
        <v>2.3995443421883464E-2</v>
      </c>
      <c r="Q42" s="2">
        <f t="shared" si="4"/>
        <v>42115.825109999998</v>
      </c>
    </row>
    <row r="43" spans="1:17" x14ac:dyDescent="0.2">
      <c r="A43" s="55" t="s">
        <v>1</v>
      </c>
      <c r="B43" s="56" t="s">
        <v>40</v>
      </c>
      <c r="C43" s="57">
        <v>57448.484299999996</v>
      </c>
      <c r="D43" s="57">
        <v>2.0000000000000001E-4</v>
      </c>
      <c r="E43">
        <f t="shared" si="0"/>
        <v>10224.068652091222</v>
      </c>
      <c r="F43">
        <f t="shared" si="1"/>
        <v>10224</v>
      </c>
      <c r="G43">
        <f t="shared" si="2"/>
        <v>2.6495999998587649E-2</v>
      </c>
      <c r="K43">
        <f t="shared" si="5"/>
        <v>2.6495999998587649E-2</v>
      </c>
      <c r="O43">
        <f t="shared" ca="1" si="3"/>
        <v>2.3433679678251634E-2</v>
      </c>
      <c r="Q43" s="2">
        <f t="shared" si="4"/>
        <v>42429.984299999996</v>
      </c>
    </row>
    <row r="44" spans="1:17" x14ac:dyDescent="0.2">
      <c r="A44" s="55" t="s">
        <v>1</v>
      </c>
      <c r="B44" s="56" t="s">
        <v>40</v>
      </c>
      <c r="C44" s="57">
        <v>57466.431100000002</v>
      </c>
      <c r="D44" s="57">
        <v>2.0999999999999999E-3</v>
      </c>
      <c r="E44">
        <f t="shared" si="0"/>
        <v>10270.569457903448</v>
      </c>
      <c r="F44">
        <f t="shared" si="1"/>
        <v>10270.5</v>
      </c>
      <c r="G44">
        <f t="shared" si="2"/>
        <v>2.6807000002008863E-2</v>
      </c>
      <c r="K44">
        <f t="shared" si="5"/>
        <v>2.6807000002008863E-2</v>
      </c>
      <c r="O44">
        <f t="shared" ca="1" si="3"/>
        <v>2.3401588751864804E-2</v>
      </c>
      <c r="Q44" s="2">
        <f t="shared" si="4"/>
        <v>42447.931100000002</v>
      </c>
    </row>
    <row r="45" spans="1:17" x14ac:dyDescent="0.2">
      <c r="A45" s="55" t="s">
        <v>1</v>
      </c>
      <c r="B45" s="56" t="s">
        <v>40</v>
      </c>
      <c r="C45" s="57">
        <v>57466.624100000001</v>
      </c>
      <c r="D45" s="57">
        <v>8.0000000000000004E-4</v>
      </c>
      <c r="E45">
        <f t="shared" si="0"/>
        <v>10271.06952786142</v>
      </c>
      <c r="F45">
        <f t="shared" si="1"/>
        <v>10271</v>
      </c>
      <c r="G45">
        <f t="shared" si="2"/>
        <v>2.6834000003873371E-2</v>
      </c>
      <c r="K45">
        <f t="shared" si="5"/>
        <v>2.6834000003873371E-2</v>
      </c>
      <c r="O45">
        <f t="shared" ca="1" si="3"/>
        <v>2.3401243688140214E-2</v>
      </c>
      <c r="Q45" s="2">
        <f t="shared" si="4"/>
        <v>42448.124100000001</v>
      </c>
    </row>
    <row r="46" spans="1:17" x14ac:dyDescent="0.2">
      <c r="A46" s="51" t="s">
        <v>0</v>
      </c>
      <c r="B46" s="58" t="s">
        <v>40</v>
      </c>
      <c r="C46" s="58">
        <v>57825.357300000003</v>
      </c>
      <c r="D46" s="58">
        <v>4.0000000000000002E-4</v>
      </c>
      <c r="E46">
        <f>+(C46-C$7)/C$8</f>
        <v>11200.560181994388</v>
      </c>
      <c r="F46">
        <f t="shared" si="1"/>
        <v>11200.5</v>
      </c>
      <c r="G46">
        <f>+C46-(C$7+F46*C$8)</f>
        <v>2.3227000005135778E-2</v>
      </c>
      <c r="K46">
        <f t="shared" si="5"/>
        <v>2.3227000005135778E-2</v>
      </c>
      <c r="O46">
        <f ca="1">+C$11+C$12*$F46</f>
        <v>2.2759770224128197E-2</v>
      </c>
      <c r="Q46" s="2">
        <f>+C46-15018.5</f>
        <v>42806.857300000003</v>
      </c>
    </row>
    <row r="47" spans="1:17" x14ac:dyDescent="0.2">
      <c r="A47" s="51" t="s">
        <v>0</v>
      </c>
      <c r="B47" s="58" t="s">
        <v>40</v>
      </c>
      <c r="C47" s="58">
        <v>57825.549400000004</v>
      </c>
      <c r="D47" s="58">
        <v>1E-3</v>
      </c>
      <c r="E47">
        <f>+(C47-C$7)/C$8</f>
        <v>11201.057920019915</v>
      </c>
      <c r="F47">
        <f t="shared" si="1"/>
        <v>11201</v>
      </c>
      <c r="G47">
        <f>+C47-(C$7+F47*C$8)</f>
        <v>2.2354000007908326E-2</v>
      </c>
      <c r="K47">
        <f t="shared" si="5"/>
        <v>2.2354000007908326E-2</v>
      </c>
      <c r="O47">
        <f ca="1">+C$11+C$12*$F47</f>
        <v>2.2759425160403607E-2</v>
      </c>
      <c r="Q47" s="2">
        <f>+C47-15018.5</f>
        <v>42807.049400000004</v>
      </c>
    </row>
    <row r="48" spans="1:17" x14ac:dyDescent="0.2">
      <c r="A48" s="59" t="s">
        <v>102</v>
      </c>
      <c r="B48" s="60" t="s">
        <v>40</v>
      </c>
      <c r="C48" s="61">
        <v>59309.313999999998</v>
      </c>
      <c r="D48" s="59">
        <v>5.9999999999999995E-4</v>
      </c>
      <c r="E48">
        <f t="shared" ref="E48:E49" si="6">+(C48-C$7)/C$8</f>
        <v>15045.545490819963</v>
      </c>
      <c r="F48">
        <f t="shared" ref="F48:F49" si="7">ROUND(2*E48,0)/2</f>
        <v>15045.5</v>
      </c>
      <c r="G48">
        <f t="shared" ref="G48:G49" si="8">+C48-(C$7+F48*C$8)</f>
        <v>1.7556999999214895E-2</v>
      </c>
      <c r="K48">
        <f t="shared" ref="K48:K49" si="9">+G48</f>
        <v>1.7556999999214895E-2</v>
      </c>
      <c r="O48">
        <f t="shared" ref="O48:O49" ca="1" si="10">+C$11+C$12*$F48</f>
        <v>2.0106230182034373E-2</v>
      </c>
      <c r="Q48" s="2">
        <f t="shared" ref="Q48:Q49" si="11">+C48-15018.5</f>
        <v>44290.813999999998</v>
      </c>
    </row>
    <row r="49" spans="1:17" x14ac:dyDescent="0.2">
      <c r="A49" s="59" t="s">
        <v>102</v>
      </c>
      <c r="B49" s="60" t="s">
        <v>40</v>
      </c>
      <c r="C49" s="61">
        <v>59309.505799999999</v>
      </c>
      <c r="D49" s="59">
        <v>1.5E-3</v>
      </c>
      <c r="E49">
        <f t="shared" si="6"/>
        <v>15046.042451534675</v>
      </c>
      <c r="F49">
        <f t="shared" si="7"/>
        <v>15046</v>
      </c>
      <c r="G49">
        <f t="shared" si="8"/>
        <v>1.6384000002290122E-2</v>
      </c>
      <c r="K49">
        <f t="shared" si="9"/>
        <v>1.6384000002290122E-2</v>
      </c>
      <c r="O49">
        <f t="shared" ca="1" si="10"/>
        <v>2.0105885118309783E-2</v>
      </c>
      <c r="Q49" s="2">
        <f t="shared" si="11"/>
        <v>44291.005799999999</v>
      </c>
    </row>
    <row r="50" spans="1:17" x14ac:dyDescent="0.2">
      <c r="C50" s="8"/>
      <c r="D50" s="8"/>
    </row>
    <row r="51" spans="1:17" x14ac:dyDescent="0.2">
      <c r="C51" s="8"/>
      <c r="D51" s="8"/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phoneticPr fontId="8" type="noConversion"/>
  <hyperlinks>
    <hyperlink ref="H1134" r:id="rId1" display="http://vsolj.cetus-net.org/bulletin.html"/>
    <hyperlink ref="H64742" r:id="rId2" display="http://vsolj.cetus-net.org/bulletin.html"/>
    <hyperlink ref="H64735" r:id="rId3" display="https://www.aavso.org/ejaavso"/>
    <hyperlink ref="AP886" r:id="rId4" display="http://cdsbib.u-strasbg.fr/cgi-bin/cdsbib?1990RMxAA..21..381G"/>
    <hyperlink ref="AP890" r:id="rId5" display="http://cdsbib.u-strasbg.fr/cgi-bin/cdsbib?1990RMxAA..21..381G"/>
    <hyperlink ref="AP889" r:id="rId6" display="http://cdsbib.u-strasbg.fr/cgi-bin/cdsbib?1990RMxAA..21..381G"/>
    <hyperlink ref="AP870" r:id="rId7" display="http://cdsbib.u-strasbg.fr/cgi-bin/cdsbib?1990RMxAA..21..381G"/>
    <hyperlink ref="I64742" r:id="rId8" display="http://vsolj.cetus-net.org/bulletin.html"/>
    <hyperlink ref="AQ1026" r:id="rId9" display="http://cdsbib.u-strasbg.fr/cgi-bin/cdsbib?1990RMxAA..21..381G"/>
    <hyperlink ref="AQ55792" r:id="rId10" display="http://cdsbib.u-strasbg.fr/cgi-bin/cdsbib?1990RMxAA..21..381G"/>
    <hyperlink ref="AQ1027" r:id="rId11" display="http://cdsbib.u-strasbg.fr/cgi-bin/cdsbib?1990RMxAA..21..381G"/>
    <hyperlink ref="H64739" r:id="rId12" display="https://www.aavso.org/ejaavso"/>
    <hyperlink ref="H1912" r:id="rId13" display="http://vsolj.cetus-net.org/bulletin.html"/>
    <hyperlink ref="AP3156" r:id="rId14" display="http://cdsbib.u-strasbg.fr/cgi-bin/cdsbib?1990RMxAA..21..381G"/>
    <hyperlink ref="AP3159" r:id="rId15" display="http://cdsbib.u-strasbg.fr/cgi-bin/cdsbib?1990RMxAA..21..381G"/>
    <hyperlink ref="AP3157" r:id="rId16" display="http://cdsbib.u-strasbg.fr/cgi-bin/cdsbib?1990RMxAA..21..381G"/>
    <hyperlink ref="AP3141" r:id="rId17" display="http://cdsbib.u-strasbg.fr/cgi-bin/cdsbib?1990RMxAA..21..381G"/>
    <hyperlink ref="I1912" r:id="rId18" display="http://vsolj.cetus-net.org/bulletin.html"/>
    <hyperlink ref="AQ3370" r:id="rId19" display="http://cdsbib.u-strasbg.fr/cgi-bin/cdsbib?1990RMxAA..21..381G"/>
    <hyperlink ref="AQ71" r:id="rId20" display="http://cdsbib.u-strasbg.fr/cgi-bin/cdsbib?1990RMxAA..21..381G"/>
    <hyperlink ref="AQ337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11" sqref="A11:IV44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52</v>
      </c>
      <c r="I1" s="38" t="s">
        <v>53</v>
      </c>
      <c r="J1" s="39" t="s">
        <v>54</v>
      </c>
    </row>
    <row r="2" spans="1:16" x14ac:dyDescent="0.2">
      <c r="I2" s="40" t="s">
        <v>55</v>
      </c>
      <c r="J2" s="41" t="s">
        <v>56</v>
      </c>
    </row>
    <row r="3" spans="1:16" x14ac:dyDescent="0.2">
      <c r="A3" s="42" t="s">
        <v>57</v>
      </c>
      <c r="I3" s="40" t="s">
        <v>58</v>
      </c>
      <c r="J3" s="41" t="s">
        <v>59</v>
      </c>
    </row>
    <row r="4" spans="1:16" x14ac:dyDescent="0.2">
      <c r="I4" s="40" t="s">
        <v>60</v>
      </c>
      <c r="J4" s="41" t="s">
        <v>59</v>
      </c>
    </row>
    <row r="5" spans="1:16" ht="13.5" thickBot="1" x14ac:dyDescent="0.25">
      <c r="I5" s="43" t="s">
        <v>61</v>
      </c>
      <c r="J5" s="44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7" si="0">P11</f>
        <v>BAVM 241 (=IBVS 6157) </v>
      </c>
      <c r="B11" s="3" t="str">
        <f t="shared" ref="B11:B17" si="1">IF(H11=INT(H11),"I","II")</f>
        <v>I</v>
      </c>
      <c r="C11" s="8">
        <f t="shared" ref="C11:C17" si="2">1*G11</f>
        <v>57066.974999999999</v>
      </c>
      <c r="D11" s="10" t="str">
        <f t="shared" ref="D11:D17" si="3">VLOOKUP(F11,I$1:J$5,2,FALSE)</f>
        <v>vis</v>
      </c>
      <c r="E11" s="45">
        <f>VLOOKUP(C11,Active!C$21:E$973,3,FALSE)</f>
        <v>9235.5643017416969</v>
      </c>
      <c r="F11" s="3" t="s">
        <v>61</v>
      </c>
      <c r="G11" s="10" t="str">
        <f t="shared" ref="G11:G17" si="4">MID(I11,3,LEN(I11)-3)</f>
        <v>57066.975</v>
      </c>
      <c r="H11" s="8">
        <f t="shared" ref="H11:H17" si="5">1*K11</f>
        <v>2757</v>
      </c>
      <c r="I11" s="46" t="s">
        <v>84</v>
      </c>
      <c r="J11" s="47" t="s">
        <v>85</v>
      </c>
      <c r="K11" s="46" t="s">
        <v>86</v>
      </c>
      <c r="L11" s="46" t="s">
        <v>87</v>
      </c>
      <c r="M11" s="47" t="s">
        <v>66</v>
      </c>
      <c r="N11" s="47" t="s">
        <v>61</v>
      </c>
      <c r="O11" s="48" t="s">
        <v>88</v>
      </c>
      <c r="P11" s="49" t="s">
        <v>89</v>
      </c>
    </row>
    <row r="12" spans="1:16" ht="12.75" customHeight="1" thickBot="1" x14ac:dyDescent="0.25">
      <c r="A12" s="8" t="str">
        <f t="shared" si="0"/>
        <v>BAVM 241 (=IBVS 6157) </v>
      </c>
      <c r="B12" s="3" t="str">
        <f t="shared" si="1"/>
        <v>II</v>
      </c>
      <c r="C12" s="8">
        <f t="shared" si="2"/>
        <v>57122.357799999998</v>
      </c>
      <c r="D12" s="10" t="str">
        <f t="shared" si="3"/>
        <v>vis</v>
      </c>
      <c r="E12" s="45">
        <f>VLOOKUP(C12,Active!C$21:E$973,3,FALSE)</f>
        <v>9379.0631331844361</v>
      </c>
      <c r="F12" s="3" t="s">
        <v>61</v>
      </c>
      <c r="G12" s="10" t="str">
        <f t="shared" si="4"/>
        <v>57122.3578</v>
      </c>
      <c r="H12" s="8">
        <f t="shared" si="5"/>
        <v>2900.5</v>
      </c>
      <c r="I12" s="46" t="s">
        <v>96</v>
      </c>
      <c r="J12" s="47" t="s">
        <v>97</v>
      </c>
      <c r="K12" s="46" t="s">
        <v>98</v>
      </c>
      <c r="L12" s="46" t="s">
        <v>99</v>
      </c>
      <c r="M12" s="47" t="s">
        <v>66</v>
      </c>
      <c r="N12" s="47" t="s">
        <v>94</v>
      </c>
      <c r="O12" s="48" t="s">
        <v>88</v>
      </c>
      <c r="P12" s="49" t="s">
        <v>89</v>
      </c>
    </row>
    <row r="13" spans="1:16" ht="12.75" customHeight="1" thickBot="1" x14ac:dyDescent="0.25">
      <c r="A13" s="8" t="str">
        <f t="shared" si="0"/>
        <v>IBVS 6029 </v>
      </c>
      <c r="B13" s="3" t="str">
        <f t="shared" si="1"/>
        <v>I</v>
      </c>
      <c r="C13" s="8">
        <f t="shared" si="2"/>
        <v>56002.9185</v>
      </c>
      <c r="D13" s="10" t="str">
        <f t="shared" si="3"/>
        <v>vis</v>
      </c>
      <c r="E13" s="45">
        <f>VLOOKUP(C13,Active!C$21:E$973,3,FALSE)</f>
        <v>6478.5555492219182</v>
      </c>
      <c r="F13" s="3" t="s">
        <v>61</v>
      </c>
      <c r="G13" s="10" t="str">
        <f t="shared" si="4"/>
        <v>56002.9185</v>
      </c>
      <c r="H13" s="8">
        <f t="shared" si="5"/>
        <v>0</v>
      </c>
      <c r="I13" s="46" t="s">
        <v>63</v>
      </c>
      <c r="J13" s="47" t="s">
        <v>64</v>
      </c>
      <c r="K13" s="46">
        <v>0</v>
      </c>
      <c r="L13" s="46" t="s">
        <v>65</v>
      </c>
      <c r="M13" s="47" t="s">
        <v>66</v>
      </c>
      <c r="N13" s="47" t="s">
        <v>61</v>
      </c>
      <c r="O13" s="48" t="s">
        <v>67</v>
      </c>
      <c r="P13" s="49" t="s">
        <v>68</v>
      </c>
    </row>
    <row r="14" spans="1:16" ht="12.75" customHeight="1" thickBot="1" x14ac:dyDescent="0.25">
      <c r="A14" s="8" t="str">
        <f t="shared" si="0"/>
        <v>BAVM 231 </v>
      </c>
      <c r="B14" s="3" t="str">
        <f t="shared" si="1"/>
        <v>II</v>
      </c>
      <c r="C14" s="8">
        <f t="shared" si="2"/>
        <v>56069.497900000002</v>
      </c>
      <c r="D14" s="10" t="str">
        <f t="shared" si="3"/>
        <v>vis</v>
      </c>
      <c r="E14" s="45">
        <f>VLOOKUP(C14,Active!C$21:E$973,3,FALSE)</f>
        <v>6651.0651749208564</v>
      </c>
      <c r="F14" s="3" t="s">
        <v>61</v>
      </c>
      <c r="G14" s="10" t="str">
        <f t="shared" si="4"/>
        <v>56069.4979</v>
      </c>
      <c r="H14" s="8">
        <f t="shared" si="5"/>
        <v>172.5</v>
      </c>
      <c r="I14" s="46" t="s">
        <v>69</v>
      </c>
      <c r="J14" s="47" t="s">
        <v>70</v>
      </c>
      <c r="K14" s="46">
        <v>172.5</v>
      </c>
      <c r="L14" s="46" t="s">
        <v>71</v>
      </c>
      <c r="M14" s="47" t="s">
        <v>66</v>
      </c>
      <c r="N14" s="47" t="s">
        <v>72</v>
      </c>
      <c r="O14" s="48" t="s">
        <v>73</v>
      </c>
      <c r="P14" s="49" t="s">
        <v>74</v>
      </c>
    </row>
    <row r="15" spans="1:16" ht="12.75" customHeight="1" thickBot="1" x14ac:dyDescent="0.25">
      <c r="A15" s="8" t="str">
        <f t="shared" si="0"/>
        <v>IBVS 6029 </v>
      </c>
      <c r="B15" s="3" t="str">
        <f t="shared" si="1"/>
        <v>II</v>
      </c>
      <c r="C15" s="8">
        <f t="shared" si="2"/>
        <v>56085.706100000003</v>
      </c>
      <c r="D15" s="10" t="str">
        <f t="shared" si="3"/>
        <v>vis</v>
      </c>
      <c r="E15" s="45">
        <f>VLOOKUP(C15,Active!C$21:E$973,3,FALSE)</f>
        <v>6693.0612054536277</v>
      </c>
      <c r="F15" s="3" t="s">
        <v>61</v>
      </c>
      <c r="G15" s="10" t="str">
        <f t="shared" si="4"/>
        <v>56085.7061</v>
      </c>
      <c r="H15" s="8">
        <f t="shared" si="5"/>
        <v>214.5</v>
      </c>
      <c r="I15" s="46" t="s">
        <v>75</v>
      </c>
      <c r="J15" s="47" t="s">
        <v>76</v>
      </c>
      <c r="K15" s="46" t="s">
        <v>77</v>
      </c>
      <c r="L15" s="46" t="s">
        <v>78</v>
      </c>
      <c r="M15" s="47" t="s">
        <v>66</v>
      </c>
      <c r="N15" s="47" t="s">
        <v>61</v>
      </c>
      <c r="O15" s="48" t="s">
        <v>67</v>
      </c>
      <c r="P15" s="49" t="s">
        <v>68</v>
      </c>
    </row>
    <row r="16" spans="1:16" ht="12.75" customHeight="1" thickBot="1" x14ac:dyDescent="0.25">
      <c r="A16" s="8" t="str">
        <f t="shared" si="0"/>
        <v>BAVM 232 </v>
      </c>
      <c r="B16" s="3" t="str">
        <f t="shared" si="1"/>
        <v>II</v>
      </c>
      <c r="C16" s="8">
        <f t="shared" si="2"/>
        <v>56418.390299999999</v>
      </c>
      <c r="D16" s="10" t="str">
        <f t="shared" si="3"/>
        <v>vis</v>
      </c>
      <c r="E16" s="45">
        <f>VLOOKUP(C16,Active!C$21:E$973,3,FALSE)</f>
        <v>7555.0579614764802</v>
      </c>
      <c r="F16" s="3" t="s">
        <v>61</v>
      </c>
      <c r="G16" s="10" t="str">
        <f t="shared" si="4"/>
        <v>56418.3903</v>
      </c>
      <c r="H16" s="8">
        <f t="shared" si="5"/>
        <v>1076.5</v>
      </c>
      <c r="I16" s="46" t="s">
        <v>79</v>
      </c>
      <c r="J16" s="47" t="s">
        <v>80</v>
      </c>
      <c r="K16" s="46" t="s">
        <v>81</v>
      </c>
      <c r="L16" s="46" t="s">
        <v>82</v>
      </c>
      <c r="M16" s="47" t="s">
        <v>66</v>
      </c>
      <c r="N16" s="47" t="s">
        <v>72</v>
      </c>
      <c r="O16" s="48" t="s">
        <v>73</v>
      </c>
      <c r="P16" s="49" t="s">
        <v>83</v>
      </c>
    </row>
    <row r="17" spans="1:16" ht="12.75" customHeight="1" thickBot="1" x14ac:dyDescent="0.25">
      <c r="A17" s="8" t="str">
        <f t="shared" si="0"/>
        <v>BAVM 239 </v>
      </c>
      <c r="B17" s="3" t="str">
        <f t="shared" si="1"/>
        <v>II</v>
      </c>
      <c r="C17" s="8">
        <f t="shared" si="2"/>
        <v>57069.482000000004</v>
      </c>
      <c r="D17" s="10" t="str">
        <f t="shared" si="3"/>
        <v>vis</v>
      </c>
      <c r="E17" s="45">
        <f>VLOOKUP(C17,Active!C$21:E$973,3,FALSE)</f>
        <v>9242.0600291232604</v>
      </c>
      <c r="F17" s="3" t="s">
        <v>61</v>
      </c>
      <c r="G17" s="10" t="str">
        <f t="shared" si="4"/>
        <v>57069.4820</v>
      </c>
      <c r="H17" s="8">
        <f t="shared" si="5"/>
        <v>2763.5</v>
      </c>
      <c r="I17" s="46" t="s">
        <v>90</v>
      </c>
      <c r="J17" s="47" t="s">
        <v>91</v>
      </c>
      <c r="K17" s="46" t="s">
        <v>92</v>
      </c>
      <c r="L17" s="46" t="s">
        <v>93</v>
      </c>
      <c r="M17" s="47" t="s">
        <v>66</v>
      </c>
      <c r="N17" s="47" t="s">
        <v>94</v>
      </c>
      <c r="O17" s="48" t="s">
        <v>88</v>
      </c>
      <c r="P17" s="49" t="s">
        <v>95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</sheetData>
  <phoneticPr fontId="8" type="noConversion"/>
  <hyperlinks>
    <hyperlink ref="P13" r:id="rId1" display="http://www.konkoly.hu/cgi-bin/IBVS?6029"/>
    <hyperlink ref="P14" r:id="rId2" display="http://www.bav-astro.de/sfs/BAVM_link.php?BAVMnr=231"/>
    <hyperlink ref="P15" r:id="rId3" display="http://www.konkoly.hu/cgi-bin/IBVS?6029"/>
    <hyperlink ref="P16" r:id="rId4" display="http://www.bav-astro.de/sfs/BAVM_link.php?BAVMnr=232"/>
    <hyperlink ref="P11" r:id="rId5" display="http://www.bav-astro.de/sfs/BAVM_link.php?BAVMnr=241"/>
    <hyperlink ref="P17" r:id="rId6" display="http://www.bav-astro.de/sfs/BAVM_link.php?BAVMnr=239"/>
    <hyperlink ref="P12" r:id="rId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2023-01-12T03:43:29Z</dcterms:modified>
</cp:coreProperties>
</file>