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AC8516B-B837-4373-BBAC-1419ECEC4456}" xr6:coauthVersionLast="47" xr6:coauthVersionMax="47" xr10:uidLastSave="{00000000-0000-0000-0000-000000000000}"/>
  <bookViews>
    <workbookView xWindow="15225" yWindow="615" windowWidth="12975" windowHeight="1371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/>
  <c r="G55" i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Q51" i="1"/>
  <c r="D9" i="1"/>
  <c r="C9" i="1"/>
  <c r="Q50" i="1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C7" i="1"/>
  <c r="C8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E36" i="1"/>
  <c r="F36" i="1"/>
  <c r="G36" i="1"/>
  <c r="J3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47" i="1"/>
  <c r="Q48" i="1"/>
  <c r="Q49" i="1"/>
  <c r="Q46" i="1"/>
  <c r="E24" i="1"/>
  <c r="F24" i="1"/>
  <c r="G24" i="1"/>
  <c r="K24" i="1"/>
  <c r="Q45" i="1"/>
  <c r="E21" i="1"/>
  <c r="F21" i="1"/>
  <c r="G21" i="1"/>
  <c r="J21" i="1"/>
  <c r="E22" i="1"/>
  <c r="F22" i="1"/>
  <c r="G22" i="1"/>
  <c r="J22" i="1"/>
  <c r="F16" i="1"/>
  <c r="F17" i="1" s="1"/>
  <c r="C17" i="1"/>
  <c r="Q43" i="1"/>
  <c r="Q44" i="1"/>
  <c r="Q29" i="1"/>
  <c r="Q30" i="1"/>
  <c r="Q31" i="1"/>
  <c r="Q32" i="1"/>
  <c r="Q42" i="1"/>
  <c r="Q41" i="1"/>
  <c r="Q39" i="1"/>
  <c r="Q38" i="1"/>
  <c r="Q26" i="1"/>
  <c r="Q27" i="1"/>
  <c r="Q33" i="1"/>
  <c r="Q34" i="1"/>
  <c r="Q21" i="1"/>
  <c r="Q22" i="1"/>
  <c r="Q40" i="1"/>
  <c r="Q35" i="1"/>
  <c r="Q36" i="1"/>
  <c r="Q37" i="1"/>
  <c r="Q28" i="1"/>
  <c r="Q24" i="1"/>
  <c r="Q25" i="1"/>
  <c r="Q23" i="1"/>
  <c r="E11" i="2"/>
  <c r="E27" i="2"/>
  <c r="E12" i="2"/>
  <c r="E18" i="2"/>
  <c r="E23" i="2"/>
  <c r="E28" i="2"/>
  <c r="E25" i="2"/>
  <c r="E29" i="2"/>
  <c r="E26" i="1"/>
  <c r="F26" i="1"/>
  <c r="E33" i="1"/>
  <c r="F33" i="1"/>
  <c r="E38" i="1"/>
  <c r="F38" i="1"/>
  <c r="E28" i="1"/>
  <c r="F28" i="1"/>
  <c r="G47" i="1"/>
  <c r="K47" i="1"/>
  <c r="E45" i="1"/>
  <c r="F45" i="1"/>
  <c r="G45" i="1"/>
  <c r="K45" i="1"/>
  <c r="E31" i="1"/>
  <c r="F31" i="1"/>
  <c r="G31" i="1"/>
  <c r="K31" i="1"/>
  <c r="E29" i="1"/>
  <c r="F29" i="1"/>
  <c r="E50" i="1"/>
  <c r="F50" i="1"/>
  <c r="G50" i="1"/>
  <c r="K50" i="1"/>
  <c r="E42" i="1"/>
  <c r="F42" i="1"/>
  <c r="G42" i="1"/>
  <c r="E41" i="1"/>
  <c r="G27" i="1"/>
  <c r="K27" i="1"/>
  <c r="G34" i="1"/>
  <c r="K34" i="1"/>
  <c r="G39" i="1"/>
  <c r="K39" i="1"/>
  <c r="E47" i="1"/>
  <c r="F47" i="1"/>
  <c r="G32" i="1"/>
  <c r="K32" i="1"/>
  <c r="E44" i="1"/>
  <c r="F44" i="1"/>
  <c r="G44" i="1"/>
  <c r="K44" i="1"/>
  <c r="G51" i="1"/>
  <c r="K51" i="1"/>
  <c r="E27" i="1"/>
  <c r="F27" i="1"/>
  <c r="E34" i="1"/>
  <c r="F34" i="1"/>
  <c r="E39" i="1"/>
  <c r="F39" i="1"/>
  <c r="E40" i="1"/>
  <c r="F40" i="1"/>
  <c r="G40" i="1"/>
  <c r="K40" i="1"/>
  <c r="E25" i="1"/>
  <c r="F25" i="1"/>
  <c r="G25" i="1"/>
  <c r="K25" i="1"/>
  <c r="E49" i="1"/>
  <c r="F49" i="1"/>
  <c r="G49" i="1"/>
  <c r="K49" i="1"/>
  <c r="E35" i="1"/>
  <c r="F35" i="1"/>
  <c r="G35" i="1"/>
  <c r="J35" i="1"/>
  <c r="E37" i="1"/>
  <c r="F37" i="1"/>
  <c r="G37" i="1"/>
  <c r="J37" i="1"/>
  <c r="E23" i="1"/>
  <c r="F23" i="1"/>
  <c r="E32" i="1"/>
  <c r="F32" i="1"/>
  <c r="E30" i="1"/>
  <c r="F30" i="1"/>
  <c r="G30" i="1"/>
  <c r="K30" i="1"/>
  <c r="G48" i="1"/>
  <c r="K48" i="1"/>
  <c r="E46" i="1"/>
  <c r="F46" i="1"/>
  <c r="G46" i="1"/>
  <c r="K46" i="1"/>
  <c r="E51" i="1"/>
  <c r="F51" i="1"/>
  <c r="G26" i="1"/>
  <c r="K26" i="1"/>
  <c r="G33" i="1"/>
  <c r="K33" i="1"/>
  <c r="G38" i="1"/>
  <c r="K38" i="1"/>
  <c r="G28" i="1"/>
  <c r="K28" i="1"/>
  <c r="E43" i="1"/>
  <c r="F43" i="1"/>
  <c r="G43" i="1"/>
  <c r="K43" i="1"/>
  <c r="G29" i="1"/>
  <c r="K29" i="1"/>
  <c r="E48" i="1"/>
  <c r="F48" i="1"/>
  <c r="K42" i="1"/>
  <c r="E30" i="2"/>
  <c r="F41" i="1"/>
  <c r="G41" i="1"/>
  <c r="J41" i="1"/>
  <c r="E26" i="2"/>
  <c r="E13" i="2"/>
  <c r="E15" i="2"/>
  <c r="E35" i="2"/>
  <c r="E24" i="2"/>
  <c r="E19" i="2"/>
  <c r="E20" i="2"/>
  <c r="E22" i="2"/>
  <c r="E14" i="2"/>
  <c r="E17" i="2"/>
  <c r="E16" i="2"/>
  <c r="E31" i="2"/>
  <c r="C12" i="1"/>
  <c r="C11" i="1"/>
  <c r="O54" i="1" l="1"/>
  <c r="O52" i="1"/>
  <c r="O56" i="1"/>
  <c r="O53" i="1"/>
  <c r="O57" i="1"/>
  <c r="O55" i="1"/>
  <c r="O51" i="1"/>
  <c r="O43" i="1"/>
  <c r="O48" i="1"/>
  <c r="O46" i="1"/>
  <c r="O42" i="1"/>
  <c r="O50" i="1"/>
  <c r="O45" i="1"/>
  <c r="O49" i="1"/>
  <c r="O44" i="1"/>
  <c r="O47" i="1"/>
  <c r="C15" i="1"/>
  <c r="C16" i="1"/>
  <c r="D18" i="1" s="1"/>
  <c r="F18" i="1" l="1"/>
  <c r="F19" i="1"/>
  <c r="C18" i="1"/>
</calcChain>
</file>

<file path=xl/sharedStrings.xml><?xml version="1.0" encoding="utf-8"?>
<sst xmlns="http://schemas.openxmlformats.org/spreadsheetml/2006/main" count="346" uniqueCount="187">
  <si>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</si>
  <si>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</si>
  <si>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</si>
  <si>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</si>
  <si>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</si>
  <si>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</si>
  <si>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</si>
  <si>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</si>
  <si>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</si>
  <si>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</si>
  <si>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</si>
  <si>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</si>
  <si>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</si>
  <si>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</si>
  <si>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</si>
  <si>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</si>
  <si>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</si>
  <si>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</si>
  <si>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</si>
  <si>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</si>
  <si>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</si>
  <si>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</si>
  <si>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</si>
  <si>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</si>
  <si>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</si>
  <si>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</si>
  <si>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</si>
  <si>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</si>
  <si>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</si>
  <si>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</si>
  <si>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</t>
  </si>
  <si>
    <t>IBVS 5287</t>
  </si>
  <si>
    <t>IBVS 5027</t>
  </si>
  <si>
    <t>II</t>
  </si>
  <si>
    <t>IBVS 1932</t>
  </si>
  <si>
    <t>J.Safar BRNO 32</t>
  </si>
  <si>
    <t>F.Agerer BAVM 152</t>
  </si>
  <si>
    <t>EW/SD:</t>
  </si>
  <si>
    <t>IBVS 5592</t>
  </si>
  <si>
    <t># of data points:</t>
  </si>
  <si>
    <t>RV CVn / gsc 2004-1159</t>
  </si>
  <si>
    <t>IBVS 5676</t>
  </si>
  <si>
    <t>IBVS 5731</t>
  </si>
  <si>
    <t>IBVS 5894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</si>
  <si>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</si>
  <si>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</si>
  <si>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</si>
  <si>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</si>
  <si>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</si>
  <si>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</si>
  <si>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</si>
  <si>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</si>
  <si>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</si>
  <si>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</si>
  <si>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IBVS 6029</t>
  </si>
  <si>
    <t>IBVS 6063</t>
  </si>
  <si>
    <t>p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</si>
  <si>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</si>
  <si>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</si>
  <si>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</si>
  <si>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</si>
  <si>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</si>
  <si>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</si>
  <si>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</si>
  <si>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</si>
  <si>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</si>
  <si>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</si>
  <si>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</si>
  <si>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2451555.6558 </t>
  </si>
  <si>
    <t> 12.01.2000 03:44 </t>
  </si>
  <si>
    <t> -0.0010 </t>
  </si>
  <si>
    <t>E </t>
  </si>
  <si>
    <t>?</t>
  </si>
  <si>
    <t> J.Safar </t>
  </si>
  <si>
    <t> BRNO 32 </t>
  </si>
  <si>
    <t>2451596.6303 </t>
  </si>
  <si>
    <t> 22.02.2000 03:07 </t>
  </si>
  <si>
    <t> -0.0007 </t>
  </si>
  <si>
    <t>2451626.5506 </t>
  </si>
  <si>
    <t> 23.03.2000 01:12 </t>
  </si>
  <si>
    <t> -0.0023 </t>
  </si>
  <si>
    <t> M.Zejda </t>
  </si>
  <si>
    <t>2451652.43110 </t>
  </si>
  <si>
    <t> 17.04.2000 22:20 </t>
  </si>
  <si>
    <t> -0.00022 </t>
  </si>
  <si>
    <t>C </t>
  </si>
  <si>
    <t>o</t>
  </si>
  <si>
    <t> J.Šafár </t>
  </si>
  <si>
    <t>OEJV 0074 </t>
  </si>
  <si>
    <t>2451923.48233 </t>
  </si>
  <si>
    <t> 13.01.2001 23:34 </t>
  </si>
  <si>
    <t> 0.00149 </t>
  </si>
  <si>
    <t>2451923.61511 </t>
  </si>
  <si>
    <t> 14.01.2001 02:45 </t>
  </si>
  <si>
    <t> -0.00051 </t>
  </si>
  <si>
    <t>2451924.69569 </t>
  </si>
  <si>
    <t> 15.01.2001 04:41 </t>
  </si>
  <si>
    <t> 0.00180 </t>
  </si>
  <si>
    <t>2452344.4099 </t>
  </si>
  <si>
    <t> 10.03.2002 21:50 </t>
  </si>
  <si>
    <t> 0.0003 </t>
  </si>
  <si>
    <t>-I</t>
  </si>
  <si>
    <t> F.Agerer </t>
  </si>
  <si>
    <t>BAVM 152 </t>
  </si>
  <si>
    <t>2452344.5458 </t>
  </si>
  <si>
    <t> 11.03.2002 01:05 </t>
  </si>
  <si>
    <t>-15206.5</t>
  </si>
  <si>
    <t> 0.0015 </t>
  </si>
  <si>
    <t>2452373.3897 </t>
  </si>
  <si>
    <t> 08.04.2002 21:21 </t>
  </si>
  <si>
    <t>-15099.5</t>
  </si>
  <si>
    <t> 0.0017 </t>
  </si>
  <si>
    <t>BAVM 158 </t>
  </si>
  <si>
    <t>2452373.5248 </t>
  </si>
  <si>
    <t> 09.04.2002 00:35 </t>
  </si>
  <si>
    <t>-15099</t>
  </si>
  <si>
    <t> 0.0020 </t>
  </si>
  <si>
    <t>2452715.4699 </t>
  </si>
  <si>
    <t> 16.03.2003 23:16 </t>
  </si>
  <si>
    <t>-13830.5</t>
  </si>
  <si>
    <t>2452789.4658 </t>
  </si>
  <si>
    <t> 29.05.2003 23:10 </t>
  </si>
  <si>
    <t>-13556</t>
  </si>
  <si>
    <t> 0.0013 </t>
  </si>
  <si>
    <t> L.Kotková &amp; M.Wolf </t>
  </si>
  <si>
    <t>IBVS 5676 </t>
  </si>
  <si>
    <t>2452863.3270 </t>
  </si>
  <si>
    <t> 11.08.2003 19:50 </t>
  </si>
  <si>
    <t>-13282</t>
  </si>
  <si>
    <t> 0.0012 </t>
  </si>
  <si>
    <t>2453148.2594 </t>
  </si>
  <si>
    <t> 22.05.2004 18:13 </t>
  </si>
  <si>
    <t>-12225</t>
  </si>
  <si>
    <t> 0.0014 </t>
  </si>
  <si>
    <t> T.Krajci </t>
  </si>
  <si>
    <t>IBVS 5592 </t>
  </si>
  <si>
    <t>2453534.4131 </t>
  </si>
  <si>
    <t> 12.06.2005 21:54 </t>
  </si>
  <si>
    <t>-10792.5</t>
  </si>
  <si>
    <t> 0.0005 </t>
  </si>
  <si>
    <t> U.Schmidt </t>
  </si>
  <si>
    <t>BAVM 178 </t>
  </si>
  <si>
    <t>2454172.61458 </t>
  </si>
  <si>
    <t> 13.03.2007 02:44 </t>
  </si>
  <si>
    <t>-8425</t>
  </si>
  <si>
    <t> 0.00231 </t>
  </si>
  <si>
    <t>R</t>
  </si>
  <si>
    <t> P.Svoboda </t>
  </si>
  <si>
    <t>2454950.7203 </t>
  </si>
  <si>
    <t> 29.04.2009 05:17 </t>
  </si>
  <si>
    <t>-5538.5</t>
  </si>
  <si>
    <t> 0.0032 </t>
  </si>
  <si>
    <t> R.Diethelm </t>
  </si>
  <si>
    <t>IBVS 5894 </t>
  </si>
  <si>
    <t>2454950.854 </t>
  </si>
  <si>
    <t> 29.04.2009 08:29 </t>
  </si>
  <si>
    <t>-5538</t>
  </si>
  <si>
    <t> 0.002 </t>
  </si>
  <si>
    <t>2455629.8931 </t>
  </si>
  <si>
    <t> 09.03.2011 09:26 </t>
  </si>
  <si>
    <t>-3019</t>
  </si>
  <si>
    <t> 0.0022 </t>
  </si>
  <si>
    <t>IBVS 5992 </t>
  </si>
  <si>
    <t>2456001.8955 </t>
  </si>
  <si>
    <t> 15.03.2012 09:29 </t>
  </si>
  <si>
    <t>-1639</t>
  </si>
  <si>
    <t>IBVS 6029 </t>
  </si>
  <si>
    <t>2456443.7125 </t>
  </si>
  <si>
    <t> 31.05.2013 05:06 </t>
  </si>
  <si>
    <t>0</t>
  </si>
  <si>
    <t> -0.0009 </t>
  </si>
  <si>
    <t>IBVS 6063 </t>
  </si>
  <si>
    <t>2456443.7133 </t>
  </si>
  <si>
    <t> 31.05.2013 05:07 </t>
  </si>
  <si>
    <t> -0.0001 </t>
  </si>
  <si>
    <t>2456443.7144 </t>
  </si>
  <si>
    <t> 31.05.2013 05:08 </t>
  </si>
  <si>
    <t> 0.0010 </t>
  </si>
  <si>
    <t>B</t>
  </si>
  <si>
    <t>2456789.02770 </t>
  </si>
  <si>
    <t> 11.05.2014 12:39 </t>
  </si>
  <si>
    <t>1281</t>
  </si>
  <si>
    <t> -0.00090 </t>
  </si>
  <si>
    <t>Ic</t>
  </si>
  <si>
    <t> S.Kiyota </t>
  </si>
  <si>
    <t>VSB 59 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</si>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</sst>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CVn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458685210611855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5-42E3-9067-AB16679831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5-42E3-9067-AB16679831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-1.2466000000131316E-2</c:v>
                </c:pt>
                <c:pt idx="1">
                  <c:v>4.9845000030472875E-3</c:v>
                </c:pt>
                <c:pt idx="14">
                  <c:v>2.859349999926053E-2</c:v>
                </c:pt>
                <c:pt idx="15">
                  <c:v>2.8910000000905711E-2</c:v>
                </c:pt>
                <c:pt idx="16">
                  <c:v>2.8270499999052845E-2</c:v>
                </c:pt>
                <c:pt idx="20">
                  <c:v>2.6924500001769047E-2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5-42E3-9067-AB16679831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2.6902000005065929E-2</c:v>
                </c:pt>
                <c:pt idx="4">
                  <c:v>2.6644499994290527E-2</c:v>
                </c:pt>
                <c:pt idx="5">
                  <c:v>2.6188000003458001E-2</c:v>
                </c:pt>
                <c:pt idx="6">
                  <c:v>2.6504000001295935E-2</c:v>
                </c:pt>
                <c:pt idx="7">
                  <c:v>2.4867000000085682E-2</c:v>
                </c:pt>
                <c:pt idx="8">
                  <c:v>2.6935000001685694E-2</c:v>
                </c:pt>
                <c:pt idx="9">
                  <c:v>2.8546499997901265E-2</c:v>
                </c:pt>
                <c:pt idx="10">
                  <c:v>2.6542999999946915E-2</c:v>
                </c:pt>
                <c:pt idx="11">
                  <c:v>2.8855000004114117E-2</c:v>
                </c:pt>
                <c:pt idx="12">
                  <c:v>2.724599999783095E-2</c:v>
                </c:pt>
                <c:pt idx="13">
                  <c:v>2.8362500001094304E-2</c:v>
                </c:pt>
                <c:pt idx="17">
                  <c:v>2.8029000000969972E-2</c:v>
                </c:pt>
                <c:pt idx="18">
                  <c:v>2.7870999998413026E-2</c:v>
                </c:pt>
                <c:pt idx="19">
                  <c:v>2.795200000400655E-2</c:v>
                </c:pt>
                <c:pt idx="21">
                  <c:v>2.8532000003906433E-2</c:v>
                </c:pt>
                <c:pt idx="22">
                  <c:v>2.9106500005582348E-2</c:v>
                </c:pt>
                <c:pt idx="23">
                  <c:v>2.8022999998938758E-2</c:v>
                </c:pt>
                <c:pt idx="24">
                  <c:v>2.7849999998579733E-2</c:v>
                </c:pt>
                <c:pt idx="25">
                  <c:v>2.7790000000095461E-2</c:v>
                </c:pt>
                <c:pt idx="26">
                  <c:v>2.4527000001398847E-2</c:v>
                </c:pt>
                <c:pt idx="27">
                  <c:v>2.5367000002006534E-2</c:v>
                </c:pt>
                <c:pt idx="28">
                  <c:v>2.6407000004837755E-2</c:v>
                </c:pt>
                <c:pt idx="29">
                  <c:v>2.4349999999685679E-2</c:v>
                </c:pt>
                <c:pt idx="30">
                  <c:v>2.3498000002291519E-2</c:v>
                </c:pt>
                <c:pt idx="31">
                  <c:v>1.6447500209324062E-2</c:v>
                </c:pt>
                <c:pt idx="32">
                  <c:v>1.5879500002483837E-2</c:v>
                </c:pt>
                <c:pt idx="33">
                  <c:v>1.6594999797234777E-2</c:v>
                </c:pt>
                <c:pt idx="34">
                  <c:v>1.5463500123587437E-2</c:v>
                </c:pt>
                <c:pt idx="35">
                  <c:v>1.6478999874379952E-2</c:v>
                </c:pt>
                <c:pt idx="36">
                  <c:v>1.5095500042662024E-2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5-42E3-9067-AB16679831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5-42E3-9067-AB16679831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5-42E3-9067-AB16679831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5-42E3-9067-AB16679831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">
                  <c:v>3.1265935917195536E-2</c:v>
                </c:pt>
                <c:pt idx="22">
                  <c:v>2.9068279158580911E-2</c:v>
                </c:pt>
                <c:pt idx="23">
                  <c:v>2.9067898480119349E-2</c:v>
                </c:pt>
                <c:pt idx="24">
                  <c:v>2.7150040390754977E-2</c:v>
                </c:pt>
                <c:pt idx="25">
                  <c:v>2.6099367836835634E-2</c:v>
                </c:pt>
                <c:pt idx="26">
                  <c:v>2.4851503839825637E-2</c:v>
                </c:pt>
                <c:pt idx="27">
                  <c:v>2.4851503839825637E-2</c:v>
                </c:pt>
                <c:pt idx="28">
                  <c:v>2.4851503839825637E-2</c:v>
                </c:pt>
                <c:pt idx="29">
                  <c:v>2.3876205621296158E-2</c:v>
                </c:pt>
                <c:pt idx="30">
                  <c:v>2.0864277633394039E-2</c:v>
                </c:pt>
                <c:pt idx="31">
                  <c:v>1.6599536828481573E-2</c:v>
                </c:pt>
                <c:pt idx="32">
                  <c:v>1.6596491400789053E-2</c:v>
                </c:pt>
                <c:pt idx="33">
                  <c:v>1.6593826651558098E-2</c:v>
                </c:pt>
                <c:pt idx="34">
                  <c:v>1.6559946268478815E-2</c:v>
                </c:pt>
                <c:pt idx="35">
                  <c:v>1.655728151924786E-2</c:v>
                </c:pt>
                <c:pt idx="36">
                  <c:v>1.6556900840786294E-2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5-42E3-9067-AB166798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6672"/>
        <c:axId val="1"/>
      </c:scatterChart>
      <c:valAx>
        <c:axId val="79672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CVn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195876288659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2-40AE-9D01-89F50F8BF9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2-40AE-9D01-89F50F8BF9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0">
                  <c:v>-1.2466000000131316E-2</c:v>
                </c:pt>
                <c:pt idx="1">
                  <c:v>4.9845000030472875E-3</c:v>
                </c:pt>
                <c:pt idx="14">
                  <c:v>2.859349999926053E-2</c:v>
                </c:pt>
                <c:pt idx="15">
                  <c:v>2.8910000000905711E-2</c:v>
                </c:pt>
                <c:pt idx="16">
                  <c:v>2.8270499999052845E-2</c:v>
                </c:pt>
                <c:pt idx="20">
                  <c:v>2.6924500001769047E-2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2-40AE-9D01-89F50F8BF9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3">
                  <c:v>2.6902000005065929E-2</c:v>
                </c:pt>
                <c:pt idx="4">
                  <c:v>2.6644499994290527E-2</c:v>
                </c:pt>
                <c:pt idx="5">
                  <c:v>2.6188000003458001E-2</c:v>
                </c:pt>
                <c:pt idx="6">
                  <c:v>2.6504000001295935E-2</c:v>
                </c:pt>
                <c:pt idx="7">
                  <c:v>2.4867000000085682E-2</c:v>
                </c:pt>
                <c:pt idx="8">
                  <c:v>2.6935000001685694E-2</c:v>
                </c:pt>
                <c:pt idx="9">
                  <c:v>2.8546499997901265E-2</c:v>
                </c:pt>
                <c:pt idx="10">
                  <c:v>2.6542999999946915E-2</c:v>
                </c:pt>
                <c:pt idx="11">
                  <c:v>2.8855000004114117E-2</c:v>
                </c:pt>
                <c:pt idx="12">
                  <c:v>2.724599999783095E-2</c:v>
                </c:pt>
                <c:pt idx="13">
                  <c:v>2.8362500001094304E-2</c:v>
                </c:pt>
                <c:pt idx="17">
                  <c:v>2.8029000000969972E-2</c:v>
                </c:pt>
                <c:pt idx="18">
                  <c:v>2.7870999998413026E-2</c:v>
                </c:pt>
                <c:pt idx="19">
                  <c:v>2.795200000400655E-2</c:v>
                </c:pt>
                <c:pt idx="21">
                  <c:v>2.8532000003906433E-2</c:v>
                </c:pt>
                <c:pt idx="22">
                  <c:v>2.9106500005582348E-2</c:v>
                </c:pt>
                <c:pt idx="23">
                  <c:v>2.8022999998938758E-2</c:v>
                </c:pt>
                <c:pt idx="24">
                  <c:v>2.7849999998579733E-2</c:v>
                </c:pt>
                <c:pt idx="25">
                  <c:v>2.7790000000095461E-2</c:v>
                </c:pt>
                <c:pt idx="26">
                  <c:v>2.4527000001398847E-2</c:v>
                </c:pt>
                <c:pt idx="27">
                  <c:v>2.5367000002006534E-2</c:v>
                </c:pt>
                <c:pt idx="28">
                  <c:v>2.6407000004837755E-2</c:v>
                </c:pt>
                <c:pt idx="29">
                  <c:v>2.4349999999685679E-2</c:v>
                </c:pt>
                <c:pt idx="30">
                  <c:v>2.3498000002291519E-2</c:v>
                </c:pt>
                <c:pt idx="31">
                  <c:v>1.6447500209324062E-2</c:v>
                </c:pt>
                <c:pt idx="32">
                  <c:v>1.5879500002483837E-2</c:v>
                </c:pt>
                <c:pt idx="33">
                  <c:v>1.6594999797234777E-2</c:v>
                </c:pt>
                <c:pt idx="34">
                  <c:v>1.5463500123587437E-2</c:v>
                </c:pt>
                <c:pt idx="35">
                  <c:v>1.6478999874379952E-2</c:v>
                </c:pt>
                <c:pt idx="36">
                  <c:v>1.5095500042662024E-2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2-40AE-9D01-89F50F8BF9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72-40AE-9D01-89F50F8BF9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72-40AE-9D01-89F50F8BF9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7">
                    <c:v>3.0000000000000001E-3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2E-3</c:v>
                  </c:pt>
                  <c:pt idx="14">
                    <c:v>5.0000000000000001E-4</c:v>
                  </c:pt>
                  <c:pt idx="15">
                    <c:v>1.4E-3</c:v>
                  </c:pt>
                  <c:pt idx="16">
                    <c:v>1.5E-3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1.6999999999999999E-3</c:v>
                  </c:pt>
                  <c:pt idx="21">
                    <c:v>2.0000000000000001E-4</c:v>
                  </c:pt>
                  <c:pt idx="22">
                    <c:v>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1.8000000000000001E-4</c:v>
                  </c:pt>
                  <c:pt idx="27">
                    <c:v>6.0000000000000002E-5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72-40AE-9D01-89F50F8BF9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-73202</c:v>
                </c:pt>
                <c:pt idx="1">
                  <c:v>-3.5</c:v>
                </c:pt>
                <c:pt idx="2">
                  <c:v>0</c:v>
                </c:pt>
                <c:pt idx="3">
                  <c:v>25494</c:v>
                </c:pt>
                <c:pt idx="4">
                  <c:v>25816.5</c:v>
                </c:pt>
                <c:pt idx="5">
                  <c:v>26636</c:v>
                </c:pt>
                <c:pt idx="6">
                  <c:v>26788</c:v>
                </c:pt>
                <c:pt idx="7">
                  <c:v>26899</c:v>
                </c:pt>
                <c:pt idx="8">
                  <c:v>26995</c:v>
                </c:pt>
                <c:pt idx="9">
                  <c:v>28000.5</c:v>
                </c:pt>
                <c:pt idx="10">
                  <c:v>28001</c:v>
                </c:pt>
                <c:pt idx="11">
                  <c:v>28005</c:v>
                </c:pt>
                <c:pt idx="12">
                  <c:v>29562</c:v>
                </c:pt>
                <c:pt idx="13">
                  <c:v>29562.5</c:v>
                </c:pt>
                <c:pt idx="14">
                  <c:v>29669.5</c:v>
                </c:pt>
                <c:pt idx="15">
                  <c:v>29670</c:v>
                </c:pt>
                <c:pt idx="16">
                  <c:v>30938.5</c:v>
                </c:pt>
                <c:pt idx="17">
                  <c:v>31213</c:v>
                </c:pt>
                <c:pt idx="18">
                  <c:v>31487</c:v>
                </c:pt>
                <c:pt idx="19">
                  <c:v>32544</c:v>
                </c:pt>
                <c:pt idx="20">
                  <c:v>33976.5</c:v>
                </c:pt>
                <c:pt idx="21">
                  <c:v>36344</c:v>
                </c:pt>
                <c:pt idx="22">
                  <c:v>39230.5</c:v>
                </c:pt>
                <c:pt idx="23">
                  <c:v>39231</c:v>
                </c:pt>
                <c:pt idx="24">
                  <c:v>41750</c:v>
                </c:pt>
                <c:pt idx="25">
                  <c:v>43130</c:v>
                </c:pt>
                <c:pt idx="26">
                  <c:v>44769</c:v>
                </c:pt>
                <c:pt idx="27">
                  <c:v>44769</c:v>
                </c:pt>
                <c:pt idx="28">
                  <c:v>44769</c:v>
                </c:pt>
                <c:pt idx="29">
                  <c:v>46050</c:v>
                </c:pt>
                <c:pt idx="30">
                  <c:v>50006</c:v>
                </c:pt>
                <c:pt idx="31">
                  <c:v>55607.5</c:v>
                </c:pt>
                <c:pt idx="32">
                  <c:v>55611.5</c:v>
                </c:pt>
                <c:pt idx="33">
                  <c:v>55615</c:v>
                </c:pt>
                <c:pt idx="34">
                  <c:v>55659.5</c:v>
                </c:pt>
                <c:pt idx="35">
                  <c:v>55663</c:v>
                </c:pt>
                <c:pt idx="36">
                  <c:v>55663.5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">
                  <c:v>3.1265935917195536E-2</c:v>
                </c:pt>
                <c:pt idx="22">
                  <c:v>2.9068279158580911E-2</c:v>
                </c:pt>
                <c:pt idx="23">
                  <c:v>2.9067898480119349E-2</c:v>
                </c:pt>
                <c:pt idx="24">
                  <c:v>2.7150040390754977E-2</c:v>
                </c:pt>
                <c:pt idx="25">
                  <c:v>2.6099367836835634E-2</c:v>
                </c:pt>
                <c:pt idx="26">
                  <c:v>2.4851503839825637E-2</c:v>
                </c:pt>
                <c:pt idx="27">
                  <c:v>2.4851503839825637E-2</c:v>
                </c:pt>
                <c:pt idx="28">
                  <c:v>2.4851503839825637E-2</c:v>
                </c:pt>
                <c:pt idx="29">
                  <c:v>2.3876205621296158E-2</c:v>
                </c:pt>
                <c:pt idx="30">
                  <c:v>2.0864277633394039E-2</c:v>
                </c:pt>
                <c:pt idx="31">
                  <c:v>1.6599536828481573E-2</c:v>
                </c:pt>
                <c:pt idx="32">
                  <c:v>1.6596491400789053E-2</c:v>
                </c:pt>
                <c:pt idx="33">
                  <c:v>1.6593826651558098E-2</c:v>
                </c:pt>
                <c:pt idx="34">
                  <c:v>1.6559946268478815E-2</c:v>
                </c:pt>
                <c:pt idx="35">
                  <c:v>1.655728151924786E-2</c:v>
                </c:pt>
                <c:pt idx="36">
                  <c:v>1.6556900840786294E-2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72-40AE-9D01-89F50F8B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27328"/>
        <c:axId val="1"/>
      </c:scatterChart>
      <c:valAx>
        <c:axId val="79672732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2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14</xdr:col>
      <xdr:colOff>171450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C10F157-AAEF-4763-096D-9BB864831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428625</xdr:colOff>
      <xdr:row>0</xdr:row>
      <xdr:rowOff>0</xdr:rowOff>
    </xdr:from>
    <xdr:to>
      <xdr:col>21</xdr:col>
      <xdr:colOff>600075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1173766-B63C-5659-C536-96129C28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6063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76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9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s="11" t="s">
        <v>37</v>
      </c>
    </row>
    <row r="4" spans="1:6" ht="14.25" thickTop="1" thickBot="1">
      <c r="A4" s="7" t="s">
        <v>1</v>
      </c>
      <c r="C4" s="3">
        <v>44375.442999999999</v>
      </c>
      <c r="D4" s="4">
        <v>0.269567</v>
      </c>
    </row>
    <row r="5" spans="1:6" ht="13.5" thickTop="1">
      <c r="A5" s="13" t="s">
        <v>45</v>
      </c>
      <c r="B5" s="12"/>
      <c r="C5" s="14">
        <v>-9.5</v>
      </c>
      <c r="D5" s="12" t="s">
        <v>46</v>
      </c>
    </row>
    <row r="6" spans="1:6">
      <c r="A6" s="7" t="s">
        <v>2</v>
      </c>
    </row>
    <row r="7" spans="1:6">
      <c r="A7" t="s">
        <v>3</v>
      </c>
      <c r="C7">
        <f>+C4</f>
        <v>44375.442999999999</v>
      </c>
    </row>
    <row r="8" spans="1:6">
      <c r="A8" t="s">
        <v>4</v>
      </c>
      <c r="C8">
        <f>+D4</f>
        <v>0.269567</v>
      </c>
    </row>
    <row r="9" spans="1:6">
      <c r="A9" s="26" t="s">
        <v>50</v>
      </c>
      <c r="B9" s="27">
        <v>42</v>
      </c>
      <c r="C9" s="16" t="str">
        <f>"F"&amp;B9</f>
        <v>F42</v>
      </c>
      <c r="D9" s="10" t="str">
        <f>"G"&amp;B9</f>
        <v>G42</v>
      </c>
    </row>
    <row r="10" spans="1:6" ht="13.5" thickBot="1">
      <c r="A10" s="12"/>
      <c r="B10" s="12"/>
      <c r="C10" s="6" t="s">
        <v>21</v>
      </c>
      <c r="D10" s="6" t="s">
        <v>22</v>
      </c>
      <c r="E10" s="12"/>
    </row>
    <row r="11" spans="1:6">
      <c r="A11" s="12" t="s">
        <v>17</v>
      </c>
      <c r="B11" s="12"/>
      <c r="C11" s="15">
        <f ca="1">INTERCEPT(INDIRECT($D$9):G989,INDIRECT($C$9):F989)</f>
        <v>5.8936691931430779E-2</v>
      </c>
      <c r="D11" s="5"/>
      <c r="E11" s="12"/>
    </row>
    <row r="12" spans="1:6">
      <c r="A12" s="12" t="s">
        <v>18</v>
      </c>
      <c r="B12" s="12"/>
      <c r="C12" s="15">
        <f ca="1">SLOPE(INDIRECT($D$9):G989,INDIRECT($C$9):F989)</f>
        <v>-7.6135692312995925E-7</v>
      </c>
      <c r="D12" s="5"/>
      <c r="E12" s="12"/>
    </row>
    <row r="13" spans="1:6">
      <c r="A13" s="12" t="s">
        <v>20</v>
      </c>
      <c r="B13" s="12"/>
      <c r="C13" s="5" t="s">
        <v>15</v>
      </c>
    </row>
    <row r="14" spans="1:6">
      <c r="A14" s="12"/>
      <c r="B14" s="12"/>
      <c r="C14" s="12"/>
    </row>
    <row r="15" spans="1:6">
      <c r="A15" s="17" t="s">
        <v>19</v>
      </c>
      <c r="B15" s="12"/>
      <c r="C15" s="18">
        <f ca="1">(C7+C11)+(C8+C12)*INT(MAX(F21:F3530))</f>
        <v>59380.367478281521</v>
      </c>
      <c r="E15" s="19" t="s">
        <v>51</v>
      </c>
      <c r="F15" s="14">
        <v>1</v>
      </c>
    </row>
    <row r="16" spans="1:6">
      <c r="A16" s="21" t="s">
        <v>5</v>
      </c>
      <c r="B16" s="12"/>
      <c r="C16" s="22">
        <f ca="1">+C8+C12</f>
        <v>0.26956623864307688</v>
      </c>
      <c r="E16" s="19" t="s">
        <v>47</v>
      </c>
      <c r="F16" s="20">
        <f ca="1">NOW()+15018.5+$C$5/24</f>
        <v>59956.70662384259</v>
      </c>
    </row>
    <row r="17" spans="1:17" ht="13.5" thickBot="1">
      <c r="A17" s="19" t="s">
        <v>39</v>
      </c>
      <c r="B17" s="12"/>
      <c r="C17" s="12">
        <f>COUNT(C21:C2188)</f>
        <v>37</v>
      </c>
      <c r="E17" s="19" t="s">
        <v>52</v>
      </c>
      <c r="F17" s="20">
        <f ca="1">ROUND(2*(F16-$C$7)/$C$8,0)/2+F15</f>
        <v>57802</v>
      </c>
    </row>
    <row r="18" spans="1:17" ht="14.25" thickTop="1" thickBot="1">
      <c r="A18" s="21" t="s">
        <v>6</v>
      </c>
      <c r="B18" s="12"/>
      <c r="C18" s="24">
        <f ca="1">+C15</f>
        <v>59380.367478281521</v>
      </c>
      <c r="D18" s="25">
        <f ca="1">+C16</f>
        <v>0.26956623864307688</v>
      </c>
      <c r="E18" s="19" t="s">
        <v>48</v>
      </c>
      <c r="F18" s="10">
        <f ca="1">ROUND(2*(F16-$C$15)/$C$16,0)/2+F15</f>
        <v>2139</v>
      </c>
    </row>
    <row r="19" spans="1:17" ht="13.5" thickTop="1">
      <c r="E19" s="19" t="s">
        <v>49</v>
      </c>
      <c r="F19" s="23">
        <f ca="1">+$C$15+$C$16*F18-15018.5-$C$5/24</f>
        <v>44938.865496072402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64</v>
      </c>
      <c r="I20" s="9" t="s">
        <v>67</v>
      </c>
      <c r="J20" s="9" t="s">
        <v>61</v>
      </c>
      <c r="K20" s="9" t="s">
        <v>59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>
      <c r="A21" t="s">
        <v>34</v>
      </c>
      <c r="B21" t="s">
        <v>30</v>
      </c>
      <c r="C21" s="39">
        <v>24642.587</v>
      </c>
      <c r="D21" s="39"/>
      <c r="E21">
        <f t="shared" ref="E21:E50" si="0">+(C21-C$7)/C$8</f>
        <v>-73202.046244532903</v>
      </c>
      <c r="F21">
        <f t="shared" ref="F21:F51" si="1">ROUND(2*E21,0)/2</f>
        <v>-73202</v>
      </c>
      <c r="G21">
        <f>+C21-(C$7+F21*C$8)</f>
        <v>-1.2466000000131316E-2</v>
      </c>
      <c r="J21">
        <f>G21</f>
        <v>-1.2466000000131316E-2</v>
      </c>
      <c r="Q21" s="2">
        <f t="shared" ref="Q21:Q50" si="2">+C21-15018.5</f>
        <v>9624.0869999999995</v>
      </c>
    </row>
    <row r="22" spans="1:17">
      <c r="A22" t="s">
        <v>34</v>
      </c>
      <c r="B22" t="s">
        <v>33</v>
      </c>
      <c r="C22" s="39">
        <v>44374.504500000003</v>
      </c>
      <c r="D22" s="39"/>
      <c r="E22">
        <f t="shared" si="0"/>
        <v>-3.4815092351681241</v>
      </c>
      <c r="F22">
        <f t="shared" si="1"/>
        <v>-3.5</v>
      </c>
      <c r="G22">
        <f>+C22-(C$7+F22*C$8)</f>
        <v>4.9845000030472875E-3</v>
      </c>
      <c r="J22">
        <f>G22</f>
        <v>4.9845000030472875E-3</v>
      </c>
      <c r="Q22" s="2">
        <f t="shared" si="2"/>
        <v>29356.004500000003</v>
      </c>
    </row>
    <row r="23" spans="1:17">
      <c r="A23" t="s">
        <v>13</v>
      </c>
      <c r="C23" s="39">
        <v>44375.442999999999</v>
      </c>
      <c r="D23" s="39" t="s">
        <v>15</v>
      </c>
      <c r="E23">
        <f t="shared" si="0"/>
        <v>0</v>
      </c>
      <c r="F23">
        <f t="shared" si="1"/>
        <v>0</v>
      </c>
      <c r="H23" s="10">
        <v>0</v>
      </c>
      <c r="Q23" s="2">
        <f t="shared" si="2"/>
        <v>29356.942999999999</v>
      </c>
    </row>
    <row r="24" spans="1:17">
      <c r="A24" t="s">
        <v>32</v>
      </c>
      <c r="B24" s="5" t="s">
        <v>30</v>
      </c>
      <c r="C24" s="39">
        <v>51247.811000000002</v>
      </c>
      <c r="D24" s="39">
        <v>5.0000000000000001E-4</v>
      </c>
      <c r="E24">
        <f t="shared" si="0"/>
        <v>25494.099797081995</v>
      </c>
      <c r="F24">
        <f t="shared" si="1"/>
        <v>25494</v>
      </c>
      <c r="G24">
        <f t="shared" ref="G24:G50" si="3">+C24-(C$7+F24*C$8)</f>
        <v>2.6902000005065929E-2</v>
      </c>
      <c r="K24">
        <f t="shared" ref="K24:K34" si="4">+G24</f>
        <v>2.6902000005065929E-2</v>
      </c>
      <c r="Q24" s="2">
        <f t="shared" si="2"/>
        <v>36229.311000000002</v>
      </c>
    </row>
    <row r="25" spans="1:17">
      <c r="A25" t="s">
        <v>32</v>
      </c>
      <c r="B25" s="5" t="s">
        <v>33</v>
      </c>
      <c r="C25" s="39">
        <v>51334.746099999997</v>
      </c>
      <c r="D25" s="39">
        <v>4.0000000000000002E-4</v>
      </c>
      <c r="E25">
        <f t="shared" si="0"/>
        <v>25816.59884184636</v>
      </c>
      <c r="F25">
        <f t="shared" si="1"/>
        <v>25816.5</v>
      </c>
      <c r="G25">
        <f t="shared" si="3"/>
        <v>2.6644499994290527E-2</v>
      </c>
      <c r="K25">
        <f t="shared" si="4"/>
        <v>2.6644499994290527E-2</v>
      </c>
      <c r="Q25" s="2">
        <f t="shared" si="2"/>
        <v>36316.246099999997</v>
      </c>
    </row>
    <row r="26" spans="1:17">
      <c r="A26" t="s">
        <v>35</v>
      </c>
      <c r="C26" s="40">
        <v>51555.6558</v>
      </c>
      <c r="D26" s="39"/>
      <c r="E26">
        <f t="shared" si="0"/>
        <v>26636.097148389828</v>
      </c>
      <c r="F26">
        <f t="shared" si="1"/>
        <v>26636</v>
      </c>
      <c r="G26">
        <f t="shared" si="3"/>
        <v>2.6188000003458001E-2</v>
      </c>
      <c r="K26">
        <f t="shared" si="4"/>
        <v>2.6188000003458001E-2</v>
      </c>
      <c r="Q26" s="2">
        <f t="shared" si="2"/>
        <v>36537.1558</v>
      </c>
    </row>
    <row r="27" spans="1:17">
      <c r="A27" s="28" t="s">
        <v>35</v>
      </c>
      <c r="B27" s="28"/>
      <c r="C27" s="41">
        <v>51596.630299999997</v>
      </c>
      <c r="D27" s="38"/>
      <c r="E27">
        <f t="shared" si="0"/>
        <v>26788.098320640129</v>
      </c>
      <c r="F27">
        <f t="shared" si="1"/>
        <v>26788</v>
      </c>
      <c r="G27">
        <f t="shared" si="3"/>
        <v>2.6504000001295935E-2</v>
      </c>
      <c r="K27">
        <f t="shared" si="4"/>
        <v>2.6504000001295935E-2</v>
      </c>
      <c r="Q27" s="2">
        <f t="shared" si="2"/>
        <v>36578.130299999997</v>
      </c>
    </row>
    <row r="28" spans="1:17">
      <c r="A28" s="28" t="s">
        <v>31</v>
      </c>
      <c r="B28" s="29" t="s">
        <v>30</v>
      </c>
      <c r="C28" s="34">
        <v>51626.550600000002</v>
      </c>
      <c r="D28" s="34">
        <v>3.0000000000000001E-3</v>
      </c>
      <c r="E28">
        <f t="shared" si="0"/>
        <v>26899.09224793837</v>
      </c>
      <c r="F28">
        <f t="shared" si="1"/>
        <v>26899</v>
      </c>
      <c r="G28">
        <f t="shared" si="3"/>
        <v>2.4867000000085682E-2</v>
      </c>
      <c r="K28">
        <f t="shared" si="4"/>
        <v>2.4867000000085682E-2</v>
      </c>
      <c r="Q28" s="2">
        <f t="shared" si="2"/>
        <v>36608.050600000002</v>
      </c>
    </row>
    <row r="29" spans="1:17">
      <c r="A29" s="30" t="s">
        <v>44</v>
      </c>
      <c r="B29" s="31" t="s">
        <v>30</v>
      </c>
      <c r="C29" s="30">
        <v>51652.431100000002</v>
      </c>
      <c r="D29" s="30">
        <v>8.0000000000000004E-4</v>
      </c>
      <c r="E29">
        <f t="shared" si="0"/>
        <v>26995.099919500542</v>
      </c>
      <c r="F29">
        <f t="shared" si="1"/>
        <v>26995</v>
      </c>
      <c r="G29">
        <f t="shared" si="3"/>
        <v>2.6935000001685694E-2</v>
      </c>
      <c r="K29">
        <f t="shared" si="4"/>
        <v>2.6935000001685694E-2</v>
      </c>
      <c r="Q29" s="2">
        <f t="shared" si="2"/>
        <v>36633.931100000002</v>
      </c>
    </row>
    <row r="30" spans="1:17">
      <c r="A30" s="30" t="s">
        <v>44</v>
      </c>
      <c r="B30" s="31" t="s">
        <v>33</v>
      </c>
      <c r="C30" s="30">
        <v>51923.482329999999</v>
      </c>
      <c r="D30" s="30">
        <v>4.0000000000000002E-4</v>
      </c>
      <c r="E30">
        <f t="shared" si="0"/>
        <v>28000.605897606158</v>
      </c>
      <c r="F30">
        <f t="shared" si="1"/>
        <v>28000.5</v>
      </c>
      <c r="G30">
        <f t="shared" si="3"/>
        <v>2.8546499997901265E-2</v>
      </c>
      <c r="K30">
        <f t="shared" si="4"/>
        <v>2.8546499997901265E-2</v>
      </c>
      <c r="Q30" s="2">
        <f t="shared" si="2"/>
        <v>36904.982329999999</v>
      </c>
    </row>
    <row r="31" spans="1:17">
      <c r="A31" s="30" t="s">
        <v>44</v>
      </c>
      <c r="B31" s="31" t="s">
        <v>30</v>
      </c>
      <c r="C31" s="30">
        <v>51923.615109999999</v>
      </c>
      <c r="D31" s="30">
        <v>8.0000000000000004E-4</v>
      </c>
      <c r="E31">
        <f t="shared" si="0"/>
        <v>28001.098465316598</v>
      </c>
      <c r="F31">
        <f t="shared" si="1"/>
        <v>28001</v>
      </c>
      <c r="G31">
        <f t="shared" si="3"/>
        <v>2.6542999999946915E-2</v>
      </c>
      <c r="K31">
        <f t="shared" si="4"/>
        <v>2.6542999999946915E-2</v>
      </c>
      <c r="Q31" s="2">
        <f t="shared" si="2"/>
        <v>36905.115109999999</v>
      </c>
    </row>
    <row r="32" spans="1:17">
      <c r="A32" s="30" t="s">
        <v>44</v>
      </c>
      <c r="B32" s="31" t="s">
        <v>30</v>
      </c>
      <c r="C32" s="30">
        <v>51924.69569</v>
      </c>
      <c r="D32" s="30">
        <v>2E-3</v>
      </c>
      <c r="E32">
        <f t="shared" si="0"/>
        <v>28005.10704203408</v>
      </c>
      <c r="F32">
        <f t="shared" si="1"/>
        <v>28005</v>
      </c>
      <c r="G32">
        <f t="shared" si="3"/>
        <v>2.8855000004114117E-2</v>
      </c>
      <c r="K32">
        <f t="shared" si="4"/>
        <v>2.8855000004114117E-2</v>
      </c>
      <c r="Q32" s="2">
        <f t="shared" si="2"/>
        <v>36906.19569</v>
      </c>
    </row>
    <row r="33" spans="1:17">
      <c r="A33" s="28" t="s">
        <v>36</v>
      </c>
      <c r="B33" s="28"/>
      <c r="C33" s="41">
        <v>52344.409899999999</v>
      </c>
      <c r="D33" s="38"/>
      <c r="E33">
        <f t="shared" si="0"/>
        <v>29562.101073202579</v>
      </c>
      <c r="F33">
        <f t="shared" si="1"/>
        <v>29562</v>
      </c>
      <c r="G33">
        <f t="shared" si="3"/>
        <v>2.724599999783095E-2</v>
      </c>
      <c r="K33">
        <f t="shared" si="4"/>
        <v>2.724599999783095E-2</v>
      </c>
      <c r="Q33" s="2">
        <f t="shared" si="2"/>
        <v>37325.909899999999</v>
      </c>
    </row>
    <row r="34" spans="1:17">
      <c r="A34" s="28" t="s">
        <v>36</v>
      </c>
      <c r="B34" s="28"/>
      <c r="C34" s="41">
        <v>52344.5458</v>
      </c>
      <c r="D34" s="38"/>
      <c r="E34">
        <f t="shared" si="0"/>
        <v>29562.605215030031</v>
      </c>
      <c r="F34">
        <f t="shared" si="1"/>
        <v>29562.5</v>
      </c>
      <c r="G34">
        <f t="shared" si="3"/>
        <v>2.8362500001094304E-2</v>
      </c>
      <c r="K34">
        <f t="shared" si="4"/>
        <v>2.8362500001094304E-2</v>
      </c>
      <c r="Q34" s="2">
        <f t="shared" si="2"/>
        <v>37326.0458</v>
      </c>
    </row>
    <row r="35" spans="1:17">
      <c r="A35" s="28" t="s">
        <v>29</v>
      </c>
      <c r="B35" s="29" t="s">
        <v>30</v>
      </c>
      <c r="C35" s="38">
        <v>52373.3897</v>
      </c>
      <c r="D35" s="38">
        <v>5.0000000000000001E-4</v>
      </c>
      <c r="E35">
        <f t="shared" si="0"/>
        <v>29669.60607195985</v>
      </c>
      <c r="F35">
        <f t="shared" si="1"/>
        <v>29669.5</v>
      </c>
      <c r="G35">
        <f t="shared" si="3"/>
        <v>2.859349999926053E-2</v>
      </c>
      <c r="J35">
        <f>+G35</f>
        <v>2.859349999926053E-2</v>
      </c>
      <c r="Q35" s="2">
        <f t="shared" si="2"/>
        <v>37354.8897</v>
      </c>
    </row>
    <row r="36" spans="1:17">
      <c r="A36" s="28" t="s">
        <v>29</v>
      </c>
      <c r="B36" s="29" t="s">
        <v>30</v>
      </c>
      <c r="C36" s="38">
        <v>52373.524799999999</v>
      </c>
      <c r="D36" s="38">
        <v>1.4E-3</v>
      </c>
      <c r="E36">
        <f t="shared" si="0"/>
        <v>29670.107246064985</v>
      </c>
      <c r="F36">
        <f t="shared" si="1"/>
        <v>29670</v>
      </c>
      <c r="G36">
        <f t="shared" si="3"/>
        <v>2.8910000000905711E-2</v>
      </c>
      <c r="J36">
        <f>+G36</f>
        <v>2.8910000000905711E-2</v>
      </c>
      <c r="Q36" s="2">
        <f t="shared" si="2"/>
        <v>37355.024799999999</v>
      </c>
    </row>
    <row r="37" spans="1:17">
      <c r="A37" s="28" t="s">
        <v>29</v>
      </c>
      <c r="B37" s="29" t="s">
        <v>30</v>
      </c>
      <c r="C37" s="38">
        <v>52715.469899999996</v>
      </c>
      <c r="D37" s="38">
        <v>1.5E-3</v>
      </c>
      <c r="E37">
        <f t="shared" si="0"/>
        <v>30938.604873741951</v>
      </c>
      <c r="F37">
        <f t="shared" si="1"/>
        <v>30938.5</v>
      </c>
      <c r="G37">
        <f t="shared" si="3"/>
        <v>2.8270499999052845E-2</v>
      </c>
      <c r="J37">
        <f>+G37</f>
        <v>2.8270499999052845E-2</v>
      </c>
      <c r="Q37" s="2">
        <f t="shared" si="2"/>
        <v>37696.969899999996</v>
      </c>
    </row>
    <row r="38" spans="1:17">
      <c r="A38" s="32" t="s">
        <v>41</v>
      </c>
      <c r="B38" s="33" t="s">
        <v>30</v>
      </c>
      <c r="C38" s="34">
        <v>52789.465799999998</v>
      </c>
      <c r="D38" s="34">
        <v>1E-4</v>
      </c>
      <c r="E38">
        <f t="shared" si="0"/>
        <v>31213.103977860788</v>
      </c>
      <c r="F38">
        <f t="shared" si="1"/>
        <v>31213</v>
      </c>
      <c r="G38">
        <f t="shared" si="3"/>
        <v>2.8029000000969972E-2</v>
      </c>
      <c r="K38">
        <f>+G38</f>
        <v>2.8029000000969972E-2</v>
      </c>
      <c r="Q38" s="2">
        <f t="shared" si="2"/>
        <v>37770.965799999998</v>
      </c>
    </row>
    <row r="39" spans="1:17">
      <c r="A39" s="32" t="s">
        <v>41</v>
      </c>
      <c r="B39" s="33" t="s">
        <v>30</v>
      </c>
      <c r="C39" s="34">
        <v>52863.326999999997</v>
      </c>
      <c r="D39" s="34">
        <v>1E-4</v>
      </c>
      <c r="E39">
        <f t="shared" si="0"/>
        <v>31487.103391735629</v>
      </c>
      <c r="F39">
        <f t="shared" si="1"/>
        <v>31487</v>
      </c>
      <c r="G39">
        <f t="shared" si="3"/>
        <v>2.7870999998413026E-2</v>
      </c>
      <c r="K39">
        <f>+G39</f>
        <v>2.7870999998413026E-2</v>
      </c>
      <c r="Q39" s="2">
        <f t="shared" si="2"/>
        <v>37844.826999999997</v>
      </c>
    </row>
    <row r="40" spans="1:17">
      <c r="A40" s="35" t="s">
        <v>38</v>
      </c>
      <c r="B40" s="28"/>
      <c r="C40" s="42">
        <v>53148.259400000003</v>
      </c>
      <c r="D40" s="38">
        <v>2.0000000000000001E-4</v>
      </c>
      <c r="E40">
        <f t="shared" si="0"/>
        <v>32544.10369221753</v>
      </c>
      <c r="F40">
        <f t="shared" si="1"/>
        <v>32544</v>
      </c>
      <c r="G40">
        <f t="shared" si="3"/>
        <v>2.795200000400655E-2</v>
      </c>
      <c r="K40">
        <f>+G40</f>
        <v>2.795200000400655E-2</v>
      </c>
      <c r="Q40" s="2">
        <f t="shared" si="2"/>
        <v>38129.759400000003</v>
      </c>
    </row>
    <row r="41" spans="1:17">
      <c r="A41" s="36" t="s">
        <v>42</v>
      </c>
      <c r="B41" s="37"/>
      <c r="C41" s="38">
        <v>53534.413099999998</v>
      </c>
      <c r="D41" s="38">
        <v>1.6999999999999999E-3</v>
      </c>
      <c r="E41">
        <f t="shared" si="0"/>
        <v>33976.599880549169</v>
      </c>
      <c r="F41">
        <f t="shared" si="1"/>
        <v>33976.5</v>
      </c>
      <c r="G41">
        <f t="shared" si="3"/>
        <v>2.6924500001769047E-2</v>
      </c>
      <c r="J41">
        <f>+G41</f>
        <v>2.6924500001769047E-2</v>
      </c>
      <c r="Q41" s="2">
        <f t="shared" si="2"/>
        <v>38515.913099999998</v>
      </c>
    </row>
    <row r="42" spans="1:17">
      <c r="A42" s="30" t="s">
        <v>44</v>
      </c>
      <c r="B42" s="31" t="s">
        <v>30</v>
      </c>
      <c r="C42" s="30">
        <v>54172.614580000001</v>
      </c>
      <c r="D42" s="30">
        <v>2.0000000000000001E-4</v>
      </c>
      <c r="E42">
        <f t="shared" si="0"/>
        <v>36344.1058438162</v>
      </c>
      <c r="F42">
        <f t="shared" si="1"/>
        <v>36344</v>
      </c>
      <c r="G42">
        <f t="shared" si="3"/>
        <v>2.8532000003906433E-2</v>
      </c>
      <c r="K42">
        <f t="shared" ref="K42:K50" si="5">+G42</f>
        <v>2.8532000003906433E-2</v>
      </c>
      <c r="O42">
        <f t="shared" ref="O42:O50" ca="1" si="6">+C$11+C$12*$F42</f>
        <v>3.1265935917195536E-2</v>
      </c>
      <c r="Q42" s="2">
        <f t="shared" si="2"/>
        <v>39154.114580000001</v>
      </c>
    </row>
    <row r="43" spans="1:17">
      <c r="A43" s="38" t="s">
        <v>43</v>
      </c>
      <c r="B43" s="29" t="s">
        <v>30</v>
      </c>
      <c r="C43" s="38">
        <v>54950.720300000001</v>
      </c>
      <c r="D43" s="38">
        <v>1E-3</v>
      </c>
      <c r="E43">
        <f t="shared" si="0"/>
        <v>39230.607975011786</v>
      </c>
      <c r="F43">
        <f t="shared" si="1"/>
        <v>39230.5</v>
      </c>
      <c r="G43">
        <f t="shared" si="3"/>
        <v>2.9106500005582348E-2</v>
      </c>
      <c r="K43">
        <f t="shared" si="5"/>
        <v>2.9106500005582348E-2</v>
      </c>
      <c r="O43">
        <f t="shared" ca="1" si="6"/>
        <v>2.9068279158580911E-2</v>
      </c>
      <c r="Q43" s="2">
        <f t="shared" si="2"/>
        <v>39932.220300000001</v>
      </c>
    </row>
    <row r="44" spans="1:17">
      <c r="A44" s="38" t="s">
        <v>43</v>
      </c>
      <c r="B44" s="29" t="s">
        <v>33</v>
      </c>
      <c r="C44" s="38">
        <v>54950.853999999999</v>
      </c>
      <c r="D44" s="38">
        <v>5.9999999999999995E-4</v>
      </c>
      <c r="E44">
        <f t="shared" si="0"/>
        <v>39231.103955602877</v>
      </c>
      <c r="F44">
        <f t="shared" si="1"/>
        <v>39231</v>
      </c>
      <c r="G44">
        <f t="shared" si="3"/>
        <v>2.8022999998938758E-2</v>
      </c>
      <c r="K44">
        <f t="shared" si="5"/>
        <v>2.8022999998938758E-2</v>
      </c>
      <c r="O44">
        <f t="shared" ca="1" si="6"/>
        <v>2.9067898480119349E-2</v>
      </c>
      <c r="Q44" s="2">
        <f t="shared" si="2"/>
        <v>39932.353999999999</v>
      </c>
    </row>
    <row r="45" spans="1:17">
      <c r="A45" s="43" t="s">
        <v>53</v>
      </c>
      <c r="B45" s="44" t="s">
        <v>30</v>
      </c>
      <c r="C45" s="43">
        <v>55629.893100000001</v>
      </c>
      <c r="D45" s="43">
        <v>2.9999999999999997E-4</v>
      </c>
      <c r="E45">
        <f t="shared" si="0"/>
        <v>41750.103313832929</v>
      </c>
      <c r="F45">
        <f t="shared" si="1"/>
        <v>41750</v>
      </c>
      <c r="G45">
        <f t="shared" si="3"/>
        <v>2.7849999998579733E-2</v>
      </c>
      <c r="K45">
        <f t="shared" si="5"/>
        <v>2.7849999998579733E-2</v>
      </c>
      <c r="O45">
        <f t="shared" ca="1" si="6"/>
        <v>2.7150040390754977E-2</v>
      </c>
      <c r="Q45" s="2">
        <f t="shared" si="2"/>
        <v>40611.393100000001</v>
      </c>
    </row>
    <row r="46" spans="1:17">
      <c r="A46" s="38" t="s">
        <v>54</v>
      </c>
      <c r="B46" s="29" t="s">
        <v>30</v>
      </c>
      <c r="C46" s="38">
        <v>56001.895499999999</v>
      </c>
      <c r="D46" s="38">
        <v>2.0000000000000001E-4</v>
      </c>
      <c r="E46">
        <f t="shared" si="0"/>
        <v>43130.103091253746</v>
      </c>
      <c r="F46">
        <f t="shared" si="1"/>
        <v>43130</v>
      </c>
      <c r="G46">
        <f t="shared" si="3"/>
        <v>2.7790000000095461E-2</v>
      </c>
      <c r="K46">
        <f t="shared" si="5"/>
        <v>2.7790000000095461E-2</v>
      </c>
      <c r="O46">
        <f t="shared" ca="1" si="6"/>
        <v>2.6099367836835634E-2</v>
      </c>
      <c r="Q46" s="2">
        <f t="shared" si="2"/>
        <v>40983.395499999999</v>
      </c>
    </row>
    <row r="47" spans="1:17">
      <c r="A47" s="36" t="s">
        <v>55</v>
      </c>
      <c r="B47" s="29" t="s">
        <v>56</v>
      </c>
      <c r="C47" s="38">
        <v>56443.712549999997</v>
      </c>
      <c r="D47" s="38">
        <v>1.8000000000000001E-4</v>
      </c>
      <c r="E47">
        <f t="shared" si="0"/>
        <v>44769.090986656367</v>
      </c>
      <c r="F47">
        <f t="shared" si="1"/>
        <v>44769</v>
      </c>
      <c r="G47">
        <f t="shared" si="3"/>
        <v>2.4527000001398847E-2</v>
      </c>
      <c r="K47">
        <f t="shared" si="5"/>
        <v>2.4527000001398847E-2</v>
      </c>
      <c r="O47">
        <f t="shared" ca="1" si="6"/>
        <v>2.4851503839825637E-2</v>
      </c>
      <c r="Q47" s="2">
        <f t="shared" si="2"/>
        <v>41425.212549999997</v>
      </c>
    </row>
    <row r="48" spans="1:17">
      <c r="A48" s="36" t="s">
        <v>55</v>
      </c>
      <c r="B48" s="29" t="s">
        <v>56</v>
      </c>
      <c r="C48" s="38">
        <v>56443.713389999997</v>
      </c>
      <c r="D48" s="38">
        <v>6.0000000000000002E-5</v>
      </c>
      <c r="E48">
        <f t="shared" si="0"/>
        <v>44769.094102764793</v>
      </c>
      <c r="F48">
        <f t="shared" si="1"/>
        <v>44769</v>
      </c>
      <c r="G48">
        <f t="shared" si="3"/>
        <v>2.5367000002006534E-2</v>
      </c>
      <c r="K48">
        <f t="shared" si="5"/>
        <v>2.5367000002006534E-2</v>
      </c>
      <c r="O48">
        <f t="shared" ca="1" si="6"/>
        <v>2.4851503839825637E-2</v>
      </c>
      <c r="Q48" s="2">
        <f t="shared" si="2"/>
        <v>41425.213389999997</v>
      </c>
    </row>
    <row r="49" spans="1:17">
      <c r="A49" s="36" t="s">
        <v>55</v>
      </c>
      <c r="B49" s="29" t="s">
        <v>56</v>
      </c>
      <c r="C49" s="38">
        <v>56443.71443</v>
      </c>
      <c r="D49" s="38">
        <v>2.1000000000000001E-4</v>
      </c>
      <c r="E49">
        <f t="shared" si="0"/>
        <v>44769.097960803811</v>
      </c>
      <c r="F49">
        <f t="shared" si="1"/>
        <v>44769</v>
      </c>
      <c r="G49">
        <f t="shared" si="3"/>
        <v>2.6407000004837755E-2</v>
      </c>
      <c r="K49">
        <f t="shared" si="5"/>
        <v>2.6407000004837755E-2</v>
      </c>
      <c r="O49">
        <f t="shared" ca="1" si="6"/>
        <v>2.4851503839825637E-2</v>
      </c>
      <c r="Q49" s="2">
        <f t="shared" si="2"/>
        <v>41425.21443</v>
      </c>
    </row>
    <row r="50" spans="1:17">
      <c r="A50" s="58" t="s">
        <v>185</v>
      </c>
      <c r="B50" s="59" t="s">
        <v>30</v>
      </c>
      <c r="C50" s="58">
        <v>56789.027699999999</v>
      </c>
      <c r="D50" s="58" t="s">
        <v>67</v>
      </c>
      <c r="E50">
        <f t="shared" si="0"/>
        <v>46050.090330047817</v>
      </c>
      <c r="F50">
        <f t="shared" si="1"/>
        <v>46050</v>
      </c>
      <c r="G50">
        <f t="shared" si="3"/>
        <v>2.4349999999685679E-2</v>
      </c>
      <c r="K50">
        <f t="shared" si="5"/>
        <v>2.4349999999685679E-2</v>
      </c>
      <c r="O50">
        <f t="shared" ca="1" si="6"/>
        <v>2.3876205621296158E-2</v>
      </c>
      <c r="Q50" s="2">
        <f t="shared" si="2"/>
        <v>41770.527699999999</v>
      </c>
    </row>
    <row r="51" spans="1:17">
      <c r="A51" s="60" t="s">
        <v>0</v>
      </c>
      <c r="B51" s="61" t="s">
        <v>30</v>
      </c>
      <c r="C51" s="61">
        <v>57855.433900000004</v>
      </c>
      <c r="D51" s="61">
        <v>8.9999999999999998E-4</v>
      </c>
      <c r="E51">
        <f>+(C51-C$7)/C$8</f>
        <v>50006.087169423576</v>
      </c>
      <c r="F51">
        <f t="shared" si="1"/>
        <v>50006</v>
      </c>
      <c r="G51">
        <f>+C51-(C$7+F51*C$8)</f>
        <v>2.3498000002291519E-2</v>
      </c>
      <c r="K51">
        <f>+G51</f>
        <v>2.3498000002291519E-2</v>
      </c>
      <c r="O51">
        <f ca="1">+C$11+C$12*$F51</f>
        <v>2.0864277633394039E-2</v>
      </c>
      <c r="Q51" s="2">
        <f>+C51-15018.5</f>
        <v>42836.933900000004</v>
      </c>
    </row>
    <row r="52" spans="1:17">
      <c r="A52" s="62" t="s">
        <v>186</v>
      </c>
      <c r="B52" s="63" t="s">
        <v>30</v>
      </c>
      <c r="C52" s="64">
        <v>59365.406400000211</v>
      </c>
      <c r="D52" s="62" t="s">
        <v>66</v>
      </c>
      <c r="E52">
        <f t="shared" ref="E52:E57" si="7">+(C52-C$7)/C$8</f>
        <v>55607.561014516657</v>
      </c>
      <c r="F52">
        <f t="shared" ref="F52:F57" si="8">ROUND(2*E52,0)/2</f>
        <v>55607.5</v>
      </c>
      <c r="G52">
        <f t="shared" ref="G52:G57" si="9">+C52-(C$7+F52*C$8)</f>
        <v>1.6447500209324062E-2</v>
      </c>
      <c r="K52">
        <f t="shared" ref="K52:K57" si="10">+G52</f>
        <v>1.6447500209324062E-2</v>
      </c>
      <c r="O52">
        <f t="shared" ref="O52:O57" ca="1" si="11">+C$11+C$12*$F52</f>
        <v>1.6599536828481573E-2</v>
      </c>
      <c r="Q52" s="2">
        <f t="shared" ref="Q52:Q57" si="12">+C52-15018.5</f>
        <v>44346.906400000211</v>
      </c>
    </row>
    <row r="53" spans="1:17">
      <c r="A53" s="62" t="s">
        <v>186</v>
      </c>
      <c r="B53" s="63" t="s">
        <v>30</v>
      </c>
      <c r="C53" s="64">
        <v>59366.484100000001</v>
      </c>
      <c r="D53" s="62" t="s">
        <v>66</v>
      </c>
      <c r="E53">
        <f t="shared" si="7"/>
        <v>55611.558907433042</v>
      </c>
      <c r="F53">
        <f t="shared" si="8"/>
        <v>55611.5</v>
      </c>
      <c r="G53">
        <f t="shared" si="9"/>
        <v>1.5879500002483837E-2</v>
      </c>
      <c r="K53">
        <f t="shared" si="10"/>
        <v>1.5879500002483837E-2</v>
      </c>
      <c r="O53">
        <f t="shared" ca="1" si="11"/>
        <v>1.6596491400789053E-2</v>
      </c>
      <c r="Q53" s="2">
        <f t="shared" si="12"/>
        <v>44347.984100000001</v>
      </c>
    </row>
    <row r="54" spans="1:17">
      <c r="A54" s="62" t="s">
        <v>186</v>
      </c>
      <c r="B54" s="63" t="s">
        <v>30</v>
      </c>
      <c r="C54" s="64">
        <v>59367.428299999796</v>
      </c>
      <c r="D54" s="62" t="s">
        <v>66</v>
      </c>
      <c r="E54">
        <f t="shared" si="7"/>
        <v>55615.061561688919</v>
      </c>
      <c r="F54">
        <f t="shared" si="8"/>
        <v>55615</v>
      </c>
      <c r="G54">
        <f t="shared" si="9"/>
        <v>1.6594999797234777E-2</v>
      </c>
      <c r="K54">
        <f t="shared" si="10"/>
        <v>1.6594999797234777E-2</v>
      </c>
      <c r="O54">
        <f t="shared" ca="1" si="11"/>
        <v>1.6593826651558098E-2</v>
      </c>
      <c r="Q54" s="2">
        <f t="shared" si="12"/>
        <v>44348.928299999796</v>
      </c>
    </row>
    <row r="55" spans="1:17">
      <c r="A55" s="62" t="s">
        <v>186</v>
      </c>
      <c r="B55" s="63" t="s">
        <v>30</v>
      </c>
      <c r="C55" s="64">
        <v>59379.422900000121</v>
      </c>
      <c r="D55" s="62" t="s">
        <v>66</v>
      </c>
      <c r="E55">
        <f t="shared" si="7"/>
        <v>55659.557364217886</v>
      </c>
      <c r="F55">
        <f t="shared" si="8"/>
        <v>55659.5</v>
      </c>
      <c r="G55">
        <f t="shared" si="9"/>
        <v>1.5463500123587437E-2</v>
      </c>
      <c r="K55">
        <f t="shared" si="10"/>
        <v>1.5463500123587437E-2</v>
      </c>
      <c r="O55">
        <f t="shared" ca="1" si="11"/>
        <v>1.6559946268478815E-2</v>
      </c>
      <c r="Q55" s="2">
        <f t="shared" si="12"/>
        <v>44360.922900000121</v>
      </c>
    </row>
    <row r="56" spans="1:17">
      <c r="A56" s="62" t="s">
        <v>186</v>
      </c>
      <c r="B56" s="63" t="s">
        <v>30</v>
      </c>
      <c r="C56" s="64">
        <v>59380.367399999872</v>
      </c>
      <c r="D56" s="62" t="s">
        <v>66</v>
      </c>
      <c r="E56">
        <f t="shared" si="7"/>
        <v>55663.061131369468</v>
      </c>
      <c r="F56">
        <f t="shared" si="8"/>
        <v>55663</v>
      </c>
      <c r="G56">
        <f t="shared" si="9"/>
        <v>1.6478999874379952E-2</v>
      </c>
      <c r="K56">
        <f t="shared" si="10"/>
        <v>1.6478999874379952E-2</v>
      </c>
      <c r="O56">
        <f t="shared" ca="1" si="11"/>
        <v>1.655728151924786E-2</v>
      </c>
      <c r="Q56" s="2">
        <f t="shared" si="12"/>
        <v>44361.867399999872</v>
      </c>
    </row>
    <row r="57" spans="1:17">
      <c r="A57" s="62" t="s">
        <v>186</v>
      </c>
      <c r="B57" s="63" t="s">
        <v>30</v>
      </c>
      <c r="C57" s="64">
        <v>59380.500800000038</v>
      </c>
      <c r="D57" s="62" t="s">
        <v>66</v>
      </c>
      <c r="E57">
        <f t="shared" si="7"/>
        <v>55663.555999065313</v>
      </c>
      <c r="F57">
        <f t="shared" si="8"/>
        <v>55663.5</v>
      </c>
      <c r="G57">
        <f t="shared" si="9"/>
        <v>1.5095500042662024E-2</v>
      </c>
      <c r="K57">
        <f t="shared" si="10"/>
        <v>1.5095500042662024E-2</v>
      </c>
      <c r="O57">
        <f t="shared" ca="1" si="11"/>
        <v>1.6556900840786294E-2</v>
      </c>
      <c r="Q57" s="2">
        <f t="shared" si="12"/>
        <v>44362.000800000038</v>
      </c>
    </row>
  </sheetData>
  <phoneticPr fontId="7" type="noConversion"/>
  <hyperlinks>
    <hyperlink ref="H64743" r:id="rId1" display="http://vsolj.cetus-net.org/bulletin.html"/>
    <hyperlink ref="H64736" r:id="rId2" display="https://www.aavso.org/ejaavso"/>
    <hyperlink ref="AP887" r:id="rId3" display="http://cdsbib.u-strasbg.fr/cgi-bin/cdsbib?1990RMxAA..21..381G"/>
    <hyperlink ref="AP891" r:id="rId4" display="http://cdsbib.u-strasbg.fr/cgi-bin/cdsbib?1990RMxAA..21..381G"/>
    <hyperlink ref="AP890" r:id="rId5" display="http://cdsbib.u-strasbg.fr/cgi-bin/cdsbib?1990RMxAA..21..381G"/>
    <hyperlink ref="AP871" r:id="rId6" display="http://cdsbib.u-strasbg.fr/cgi-bin/cdsbib?1990RMxAA..21..381G"/>
    <hyperlink ref="I64743" r:id="rId7" display="http://vsolj.cetus-net.org/bulletin.html"/>
    <hyperlink ref="AQ1027" r:id="rId8" display="http://cdsbib.u-strasbg.fr/cgi-bin/cdsbib?1990RMxAA..21..381G"/>
    <hyperlink ref="AQ55793" r:id="rId9" display="http://cdsbib.u-strasbg.fr/cgi-bin/cdsbib?1990RMxAA..21..381G"/>
    <hyperlink ref="AQ1028" r:id="rId10" display="http://cdsbib.u-strasbg.fr/cgi-bin/cdsbib?1990RMxAA..21..381G"/>
    <hyperlink ref="H64740" r:id="rId11" display="https://www.aavso.org/ejaavso"/>
    <hyperlink ref="H1913" r:id="rId12" display="http://vsolj.cetus-net.org/bulletin.html"/>
    <hyperlink ref="AP3157" r:id="rId13" display="http://cdsbib.u-strasbg.fr/cgi-bin/cdsbib?1990RMxAA..21..381G"/>
    <hyperlink ref="AP3160" r:id="rId14" display="http://cdsbib.u-strasbg.fr/cgi-bin/cdsbib?1990RMxAA..21..381G"/>
    <hyperlink ref="AP3158" r:id="rId15" display="http://cdsbib.u-strasbg.fr/cgi-bin/cdsbib?1990RMxAA..21..381G"/>
    <hyperlink ref="AP3142" r:id="rId16" display="http://cdsbib.u-strasbg.fr/cgi-bin/cdsbib?1990RMxAA..21..381G"/>
    <hyperlink ref="I1913" r:id="rId17" display="http://vsolj.cetus-net.org/bulletin.html"/>
    <hyperlink ref="AQ3371" r:id="rId18" display="http://cdsbib.u-strasbg.fr/cgi-bin/cdsbib?1990RMxAA..21..381G"/>
    <hyperlink ref="AQ72" r:id="rId19" display="http://cdsbib.u-strasbg.fr/cgi-bin/cdsbib?1990RMxAA..21..381G"/>
    <hyperlink ref="AQ3375" r:id="rId20" display="http://cdsbib.u-strasbg.fr/cgi-bin/cdsbib?1990RMxAA..21..381G"/>
    <hyperlink ref="H64454" r:id="rId21" display="http://vsolj.cetus-net.org/bulletin.html"/>
    <hyperlink ref="H64447" r:id="rId22" display="https://www.aavso.org/ejaavso"/>
    <hyperlink ref="I64454" r:id="rId23" display="http://vsolj.cetus-net.org/bulletin.html"/>
    <hyperlink ref="AQ58105" r:id="rId24" display="http://cdsbib.u-strasbg.fr/cgi-bin/cdsbib?1990RMxAA..21..381G"/>
    <hyperlink ref="H64451" r:id="rId25" display="https://www.aavso.org/ejaavso"/>
    <hyperlink ref="AP5469" r:id="rId26" display="http://cdsbib.u-strasbg.fr/cgi-bin/cdsbib?1990RMxAA..21..381G"/>
    <hyperlink ref="AP5472" r:id="rId27" display="http://cdsbib.u-strasbg.fr/cgi-bin/cdsbib?1990RMxAA..21..381G"/>
    <hyperlink ref="AP5470" r:id="rId28" display="http://cdsbib.u-strasbg.fr/cgi-bin/cdsbib?1990RMxAA..21..381G"/>
    <hyperlink ref="AP5454" r:id="rId29" display="http://cdsbib.u-strasbg.fr/cgi-bin/cdsbib?1990RMxAA..21..381G"/>
    <hyperlink ref="AQ5683" r:id="rId30" display="http://cdsbib.u-strasbg.fr/cgi-bin/cdsbib?1990RMxAA..21..381G"/>
    <hyperlink ref="AQ5687" r:id="rId31" display="http://cdsbib.u-strasbg.fr/cgi-bin/cdsbib?1990RMxAA..21..381G"/>
    <hyperlink ref="AQ65367" r:id="rId32" display="http://cdsbib.u-strasbg.fr/cgi-bin/cdsbib?1990RMxAA..21..381G"/>
    <hyperlink ref="I2575" r:id="rId33" display="http://vsolj.cetus-net.org/bulletin.html"/>
    <hyperlink ref="H2575" r:id="rId34" display="http://vsolj.cetus-net.org/bulletin.html"/>
    <hyperlink ref="AQ492" r:id="rId35" display="http://cdsbib.u-strasbg.fr/cgi-bin/cdsbib?1990RMxAA..21..381G"/>
    <hyperlink ref="AQ491" r:id="rId36" display="http://cdsbib.u-strasbg.fr/cgi-bin/cdsbib?1990RMxAA..21..381G"/>
    <hyperlink ref="AP3745" r:id="rId37" display="http://cdsbib.u-strasbg.fr/cgi-bin/cdsbib?1990RMxAA..21..381G"/>
    <hyperlink ref="AP3763" r:id="rId38" display="http://cdsbib.u-strasbg.fr/cgi-bin/cdsbib?1990RMxAA..21..381G"/>
    <hyperlink ref="AP3764" r:id="rId39" display="http://cdsbib.u-strasbg.fr/cgi-bin/cdsbib?1990RMxAA..21..381G"/>
    <hyperlink ref="AP3760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8"/>
  <sheetViews>
    <sheetView workbookViewId="0">
      <selection activeCell="A32" sqref="A32:D35"/>
    </sheetView>
  </sheetViews>
  <sheetFormatPr defaultRowHeight="12.75"/>
  <cols>
    <col min="1" max="1" width="19.7109375" style="39" customWidth="1"/>
    <col min="2" max="2" width="4.42578125" style="12" customWidth="1"/>
    <col min="3" max="3" width="12.7109375" style="3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5" t="s">
        <v>57</v>
      </c>
      <c r="I1" s="46" t="s">
        <v>58</v>
      </c>
      <c r="J1" s="47" t="s">
        <v>59</v>
      </c>
    </row>
    <row r="2" spans="1:16">
      <c r="I2" s="48" t="s">
        <v>60</v>
      </c>
      <c r="J2" s="49" t="s">
        <v>61</v>
      </c>
    </row>
    <row r="3" spans="1:16">
      <c r="A3" s="50" t="s">
        <v>62</v>
      </c>
      <c r="I3" s="48" t="s">
        <v>63</v>
      </c>
      <c r="J3" s="49" t="s">
        <v>64</v>
      </c>
    </row>
    <row r="4" spans="1:16">
      <c r="I4" s="48" t="s">
        <v>65</v>
      </c>
      <c r="J4" s="49" t="s">
        <v>64</v>
      </c>
    </row>
    <row r="5" spans="1:16" ht="13.5" thickBot="1">
      <c r="I5" s="51" t="s">
        <v>66</v>
      </c>
      <c r="J5" s="52" t="s">
        <v>67</v>
      </c>
    </row>
    <row r="10" spans="1:16" ht="13.5" thickBot="1"/>
    <row r="11" spans="1:16" ht="12.75" customHeight="1" thickBot="1">
      <c r="A11" s="39" t="str">
        <f t="shared" ref="A11:A35" si="0">P11</f>
        <v> BRNO 32 </v>
      </c>
      <c r="B11" s="5" t="str">
        <f t="shared" ref="B11:B35" si="1">IF(H11=INT(H11),"I","II")</f>
        <v>I</v>
      </c>
      <c r="C11" s="39">
        <f t="shared" ref="C11:C35" si="2">1*G11</f>
        <v>51555.6558</v>
      </c>
      <c r="D11" s="12" t="str">
        <f t="shared" ref="D11:D35" si="3">VLOOKUP(F11,I$1:J$5,2,FALSE)</f>
        <v>vis</v>
      </c>
      <c r="E11" s="53">
        <f>VLOOKUP(C11,Active!C$21:E$970,3,FALSE)</f>
        <v>26636.097148389828</v>
      </c>
      <c r="F11" s="5" t="s">
        <v>66</v>
      </c>
      <c r="G11" s="12" t="str">
        <f t="shared" ref="G11:G35" si="4">MID(I11,3,LEN(I11)-3)</f>
        <v>51555.6558</v>
      </c>
      <c r="H11" s="39">
        <f t="shared" ref="H11:H35" si="5">1*K11</f>
        <v>-18133</v>
      </c>
      <c r="I11" s="54" t="s">
        <v>68</v>
      </c>
      <c r="J11" s="55" t="s">
        <v>69</v>
      </c>
      <c r="K11" s="54">
        <v>-18133</v>
      </c>
      <c r="L11" s="54" t="s">
        <v>70</v>
      </c>
      <c r="M11" s="55" t="s">
        <v>71</v>
      </c>
      <c r="N11" s="55" t="s">
        <v>72</v>
      </c>
      <c r="O11" s="56" t="s">
        <v>73</v>
      </c>
      <c r="P11" s="56" t="s">
        <v>74</v>
      </c>
    </row>
    <row r="12" spans="1:16" ht="12.75" customHeight="1" thickBot="1">
      <c r="A12" s="39" t="str">
        <f t="shared" si="0"/>
        <v> BRNO 32 </v>
      </c>
      <c r="B12" s="5" t="str">
        <f t="shared" si="1"/>
        <v>I</v>
      </c>
      <c r="C12" s="39">
        <f t="shared" si="2"/>
        <v>51596.630299999997</v>
      </c>
      <c r="D12" s="12" t="str">
        <f t="shared" si="3"/>
        <v>vis</v>
      </c>
      <c r="E12" s="53">
        <f>VLOOKUP(C12,Active!C$21:E$970,3,FALSE)</f>
        <v>26788.098320640129</v>
      </c>
      <c r="F12" s="5" t="s">
        <v>66</v>
      </c>
      <c r="G12" s="12" t="str">
        <f t="shared" si="4"/>
        <v>51596.6303</v>
      </c>
      <c r="H12" s="39">
        <f t="shared" si="5"/>
        <v>-17981</v>
      </c>
      <c r="I12" s="54" t="s">
        <v>75</v>
      </c>
      <c r="J12" s="55" t="s">
        <v>76</v>
      </c>
      <c r="K12" s="54">
        <v>-17981</v>
      </c>
      <c r="L12" s="54" t="s">
        <v>77</v>
      </c>
      <c r="M12" s="55" t="s">
        <v>71</v>
      </c>
      <c r="N12" s="55" t="s">
        <v>72</v>
      </c>
      <c r="O12" s="56" t="s">
        <v>73</v>
      </c>
      <c r="P12" s="56" t="s">
        <v>74</v>
      </c>
    </row>
    <row r="13" spans="1:16" ht="12.75" customHeight="1" thickBot="1">
      <c r="A13" s="39" t="str">
        <f t="shared" si="0"/>
        <v> BRNO 32 </v>
      </c>
      <c r="B13" s="5" t="str">
        <f t="shared" si="1"/>
        <v>I</v>
      </c>
      <c r="C13" s="39">
        <f t="shared" si="2"/>
        <v>51626.550600000002</v>
      </c>
      <c r="D13" s="12" t="str">
        <f t="shared" si="3"/>
        <v>vis</v>
      </c>
      <c r="E13" s="53">
        <f>VLOOKUP(C13,Active!C$21:E$970,3,FALSE)</f>
        <v>26899.09224793837</v>
      </c>
      <c r="F13" s="5" t="s">
        <v>66</v>
      </c>
      <c r="G13" s="12" t="str">
        <f t="shared" si="4"/>
        <v>51626.5506</v>
      </c>
      <c r="H13" s="39">
        <f t="shared" si="5"/>
        <v>-17870</v>
      </c>
      <c r="I13" s="54" t="s">
        <v>78</v>
      </c>
      <c r="J13" s="55" t="s">
        <v>79</v>
      </c>
      <c r="K13" s="54">
        <v>-17870</v>
      </c>
      <c r="L13" s="54" t="s">
        <v>80</v>
      </c>
      <c r="M13" s="55" t="s">
        <v>71</v>
      </c>
      <c r="N13" s="55" t="s">
        <v>72</v>
      </c>
      <c r="O13" s="56" t="s">
        <v>81</v>
      </c>
      <c r="P13" s="56" t="s">
        <v>74</v>
      </c>
    </row>
    <row r="14" spans="1:16" ht="12.75" customHeight="1" thickBot="1">
      <c r="A14" s="39" t="str">
        <f t="shared" si="0"/>
        <v>OEJV 0074 </v>
      </c>
      <c r="B14" s="5" t="str">
        <f t="shared" si="1"/>
        <v>I</v>
      </c>
      <c r="C14" s="39">
        <f t="shared" si="2"/>
        <v>51652.431100000002</v>
      </c>
      <c r="D14" s="12" t="str">
        <f t="shared" si="3"/>
        <v>vis</v>
      </c>
      <c r="E14" s="53">
        <f>VLOOKUP(C14,Active!C$21:E$970,3,FALSE)</f>
        <v>26995.099919500542</v>
      </c>
      <c r="F14" s="5" t="s">
        <v>66</v>
      </c>
      <c r="G14" s="12" t="str">
        <f t="shared" si="4"/>
        <v>51652.43110</v>
      </c>
      <c r="H14" s="39">
        <f t="shared" si="5"/>
        <v>-17774</v>
      </c>
      <c r="I14" s="54" t="s">
        <v>82</v>
      </c>
      <c r="J14" s="55" t="s">
        <v>83</v>
      </c>
      <c r="K14" s="54">
        <v>-17774</v>
      </c>
      <c r="L14" s="54" t="s">
        <v>84</v>
      </c>
      <c r="M14" s="55" t="s">
        <v>85</v>
      </c>
      <c r="N14" s="55" t="s">
        <v>86</v>
      </c>
      <c r="O14" s="56" t="s">
        <v>87</v>
      </c>
      <c r="P14" s="57" t="s">
        <v>88</v>
      </c>
    </row>
    <row r="15" spans="1:16" ht="12.75" customHeight="1" thickBot="1">
      <c r="A15" s="39" t="str">
        <f t="shared" si="0"/>
        <v>OEJV 0074 </v>
      </c>
      <c r="B15" s="5" t="str">
        <f t="shared" si="1"/>
        <v>II</v>
      </c>
      <c r="C15" s="39">
        <f t="shared" si="2"/>
        <v>51923.482329999999</v>
      </c>
      <c r="D15" s="12" t="str">
        <f t="shared" si="3"/>
        <v>vis</v>
      </c>
      <c r="E15" s="53">
        <f>VLOOKUP(C15,Active!C$21:E$970,3,FALSE)</f>
        <v>28000.605897606158</v>
      </c>
      <c r="F15" s="5" t="s">
        <v>66</v>
      </c>
      <c r="G15" s="12" t="str">
        <f t="shared" si="4"/>
        <v>51923.48233</v>
      </c>
      <c r="H15" s="39">
        <f t="shared" si="5"/>
        <v>-16768.5</v>
      </c>
      <c r="I15" s="54" t="s">
        <v>89</v>
      </c>
      <c r="J15" s="55" t="s">
        <v>90</v>
      </c>
      <c r="K15" s="54">
        <v>-16768.5</v>
      </c>
      <c r="L15" s="54" t="s">
        <v>91</v>
      </c>
      <c r="M15" s="55" t="s">
        <v>85</v>
      </c>
      <c r="N15" s="55" t="s">
        <v>86</v>
      </c>
      <c r="O15" s="56" t="s">
        <v>87</v>
      </c>
      <c r="P15" s="57" t="s">
        <v>88</v>
      </c>
    </row>
    <row r="16" spans="1:16" ht="12.75" customHeight="1" thickBot="1">
      <c r="A16" s="39" t="str">
        <f t="shared" si="0"/>
        <v>OEJV 0074 </v>
      </c>
      <c r="B16" s="5" t="str">
        <f t="shared" si="1"/>
        <v>I</v>
      </c>
      <c r="C16" s="39">
        <f t="shared" si="2"/>
        <v>51923.615109999999</v>
      </c>
      <c r="D16" s="12" t="str">
        <f t="shared" si="3"/>
        <v>vis</v>
      </c>
      <c r="E16" s="53">
        <f>VLOOKUP(C16,Active!C$21:E$970,3,FALSE)</f>
        <v>28001.098465316598</v>
      </c>
      <c r="F16" s="5" t="s">
        <v>66</v>
      </c>
      <c r="G16" s="12" t="str">
        <f t="shared" si="4"/>
        <v>51923.61511</v>
      </c>
      <c r="H16" s="39">
        <f t="shared" si="5"/>
        <v>-16768</v>
      </c>
      <c r="I16" s="54" t="s">
        <v>92</v>
      </c>
      <c r="J16" s="55" t="s">
        <v>93</v>
      </c>
      <c r="K16" s="54">
        <v>-16768</v>
      </c>
      <c r="L16" s="54" t="s">
        <v>94</v>
      </c>
      <c r="M16" s="55" t="s">
        <v>85</v>
      </c>
      <c r="N16" s="55" t="s">
        <v>86</v>
      </c>
      <c r="O16" s="56" t="s">
        <v>87</v>
      </c>
      <c r="P16" s="57" t="s">
        <v>88</v>
      </c>
    </row>
    <row r="17" spans="1:16" ht="12.75" customHeight="1" thickBot="1">
      <c r="A17" s="39" t="str">
        <f t="shared" si="0"/>
        <v>OEJV 0074 </v>
      </c>
      <c r="B17" s="5" t="str">
        <f t="shared" si="1"/>
        <v>I</v>
      </c>
      <c r="C17" s="39">
        <f t="shared" si="2"/>
        <v>51924.69569</v>
      </c>
      <c r="D17" s="12" t="str">
        <f t="shared" si="3"/>
        <v>vis</v>
      </c>
      <c r="E17" s="53">
        <f>VLOOKUP(C17,Active!C$21:E$970,3,FALSE)</f>
        <v>28005.10704203408</v>
      </c>
      <c r="F17" s="5" t="s">
        <v>66</v>
      </c>
      <c r="G17" s="12" t="str">
        <f t="shared" si="4"/>
        <v>51924.69569</v>
      </c>
      <c r="H17" s="39">
        <f t="shared" si="5"/>
        <v>-16764</v>
      </c>
      <c r="I17" s="54" t="s">
        <v>95</v>
      </c>
      <c r="J17" s="55" t="s">
        <v>96</v>
      </c>
      <c r="K17" s="54">
        <v>-16764</v>
      </c>
      <c r="L17" s="54" t="s">
        <v>97</v>
      </c>
      <c r="M17" s="55" t="s">
        <v>85</v>
      </c>
      <c r="N17" s="55" t="s">
        <v>86</v>
      </c>
      <c r="O17" s="56" t="s">
        <v>87</v>
      </c>
      <c r="P17" s="57" t="s">
        <v>88</v>
      </c>
    </row>
    <row r="18" spans="1:16" ht="12.75" customHeight="1" thickBot="1">
      <c r="A18" s="39" t="str">
        <f t="shared" si="0"/>
        <v>BAVM 152 </v>
      </c>
      <c r="B18" s="5" t="str">
        <f t="shared" si="1"/>
        <v>I</v>
      </c>
      <c r="C18" s="39">
        <f t="shared" si="2"/>
        <v>52344.409899999999</v>
      </c>
      <c r="D18" s="12" t="str">
        <f t="shared" si="3"/>
        <v>vis</v>
      </c>
      <c r="E18" s="53">
        <f>VLOOKUP(C18,Active!C$21:E$970,3,FALSE)</f>
        <v>29562.101073202579</v>
      </c>
      <c r="F18" s="5" t="s">
        <v>66</v>
      </c>
      <c r="G18" s="12" t="str">
        <f t="shared" si="4"/>
        <v>52344.4099</v>
      </c>
      <c r="H18" s="39">
        <f t="shared" si="5"/>
        <v>-15207</v>
      </c>
      <c r="I18" s="54" t="s">
        <v>98</v>
      </c>
      <c r="J18" s="55" t="s">
        <v>99</v>
      </c>
      <c r="K18" s="54">
        <v>-15207</v>
      </c>
      <c r="L18" s="54" t="s">
        <v>100</v>
      </c>
      <c r="M18" s="55" t="s">
        <v>71</v>
      </c>
      <c r="N18" s="55" t="s">
        <v>101</v>
      </c>
      <c r="O18" s="56" t="s">
        <v>102</v>
      </c>
      <c r="P18" s="57" t="s">
        <v>103</v>
      </c>
    </row>
    <row r="19" spans="1:16" ht="12.75" customHeight="1" thickBot="1">
      <c r="A19" s="39" t="str">
        <f t="shared" si="0"/>
        <v>BAVM 152 </v>
      </c>
      <c r="B19" s="5" t="str">
        <f t="shared" si="1"/>
        <v>II</v>
      </c>
      <c r="C19" s="39">
        <f t="shared" si="2"/>
        <v>52344.5458</v>
      </c>
      <c r="D19" s="12" t="str">
        <f t="shared" si="3"/>
        <v>vis</v>
      </c>
      <c r="E19" s="53">
        <f>VLOOKUP(C19,Active!C$21:E$970,3,FALSE)</f>
        <v>29562.605215030031</v>
      </c>
      <c r="F19" s="5" t="s">
        <v>66</v>
      </c>
      <c r="G19" s="12" t="str">
        <f t="shared" si="4"/>
        <v>52344.5458</v>
      </c>
      <c r="H19" s="39">
        <f t="shared" si="5"/>
        <v>-15206.5</v>
      </c>
      <c r="I19" s="54" t="s">
        <v>104</v>
      </c>
      <c r="J19" s="55" t="s">
        <v>105</v>
      </c>
      <c r="K19" s="54" t="s">
        <v>106</v>
      </c>
      <c r="L19" s="54" t="s">
        <v>107</v>
      </c>
      <c r="M19" s="55" t="s">
        <v>71</v>
      </c>
      <c r="N19" s="55" t="s">
        <v>101</v>
      </c>
      <c r="O19" s="56" t="s">
        <v>102</v>
      </c>
      <c r="P19" s="57" t="s">
        <v>103</v>
      </c>
    </row>
    <row r="20" spans="1:16" ht="12.75" customHeight="1" thickBot="1">
      <c r="A20" s="39" t="str">
        <f t="shared" si="0"/>
        <v>BAVM 158 </v>
      </c>
      <c r="B20" s="5" t="str">
        <f t="shared" si="1"/>
        <v>II</v>
      </c>
      <c r="C20" s="39">
        <f t="shared" si="2"/>
        <v>52373.3897</v>
      </c>
      <c r="D20" s="12" t="str">
        <f t="shared" si="3"/>
        <v>vis</v>
      </c>
      <c r="E20" s="53">
        <f>VLOOKUP(C20,Active!C$21:E$970,3,FALSE)</f>
        <v>29669.60607195985</v>
      </c>
      <c r="F20" s="5" t="s">
        <v>66</v>
      </c>
      <c r="G20" s="12" t="str">
        <f t="shared" si="4"/>
        <v>52373.3897</v>
      </c>
      <c r="H20" s="39">
        <f t="shared" si="5"/>
        <v>-15099.5</v>
      </c>
      <c r="I20" s="54" t="s">
        <v>108</v>
      </c>
      <c r="J20" s="55" t="s">
        <v>109</v>
      </c>
      <c r="K20" s="54" t="s">
        <v>110</v>
      </c>
      <c r="L20" s="54" t="s">
        <v>111</v>
      </c>
      <c r="M20" s="55" t="s">
        <v>71</v>
      </c>
      <c r="N20" s="55" t="s">
        <v>86</v>
      </c>
      <c r="O20" s="56" t="s">
        <v>102</v>
      </c>
      <c r="P20" s="57" t="s">
        <v>112</v>
      </c>
    </row>
    <row r="21" spans="1:16" ht="12.75" customHeight="1" thickBot="1">
      <c r="A21" s="39" t="str">
        <f t="shared" si="0"/>
        <v>BAVM 158 </v>
      </c>
      <c r="B21" s="5" t="str">
        <f t="shared" si="1"/>
        <v>I</v>
      </c>
      <c r="C21" s="39">
        <f t="shared" si="2"/>
        <v>52373.524799999999</v>
      </c>
      <c r="D21" s="12" t="str">
        <f t="shared" si="3"/>
        <v>vis</v>
      </c>
      <c r="E21" s="53">
        <f>VLOOKUP(C21,Active!C$21:E$970,3,FALSE)</f>
        <v>29670.107246064985</v>
      </c>
      <c r="F21" s="5" t="s">
        <v>66</v>
      </c>
      <c r="G21" s="12" t="str">
        <f t="shared" si="4"/>
        <v>52373.5248</v>
      </c>
      <c r="H21" s="39">
        <f t="shared" si="5"/>
        <v>-15099</v>
      </c>
      <c r="I21" s="54" t="s">
        <v>113</v>
      </c>
      <c r="J21" s="55" t="s">
        <v>114</v>
      </c>
      <c r="K21" s="54" t="s">
        <v>115</v>
      </c>
      <c r="L21" s="54" t="s">
        <v>116</v>
      </c>
      <c r="M21" s="55" t="s">
        <v>71</v>
      </c>
      <c r="N21" s="55" t="s">
        <v>86</v>
      </c>
      <c r="O21" s="56" t="s">
        <v>102</v>
      </c>
      <c r="P21" s="57" t="s">
        <v>112</v>
      </c>
    </row>
    <row r="22" spans="1:16" ht="12.75" customHeight="1" thickBot="1">
      <c r="A22" s="39" t="str">
        <f t="shared" si="0"/>
        <v>BAVM 158 </v>
      </c>
      <c r="B22" s="5" t="str">
        <f t="shared" si="1"/>
        <v>II</v>
      </c>
      <c r="C22" s="39">
        <f t="shared" si="2"/>
        <v>52715.469899999996</v>
      </c>
      <c r="D22" s="12" t="str">
        <f t="shared" si="3"/>
        <v>vis</v>
      </c>
      <c r="E22" s="53">
        <f>VLOOKUP(C22,Active!C$21:E$970,3,FALSE)</f>
        <v>30938.604873741951</v>
      </c>
      <c r="F22" s="5" t="s">
        <v>66</v>
      </c>
      <c r="G22" s="12" t="str">
        <f t="shared" si="4"/>
        <v>52715.4699</v>
      </c>
      <c r="H22" s="39">
        <f t="shared" si="5"/>
        <v>-13830.5</v>
      </c>
      <c r="I22" s="54" t="s">
        <v>117</v>
      </c>
      <c r="J22" s="55" t="s">
        <v>118</v>
      </c>
      <c r="K22" s="54" t="s">
        <v>119</v>
      </c>
      <c r="L22" s="54" t="s">
        <v>107</v>
      </c>
      <c r="M22" s="55" t="s">
        <v>71</v>
      </c>
      <c r="N22" s="55" t="s">
        <v>86</v>
      </c>
      <c r="O22" s="56" t="s">
        <v>102</v>
      </c>
      <c r="P22" s="57" t="s">
        <v>112</v>
      </c>
    </row>
    <row r="23" spans="1:16" ht="12.75" customHeight="1" thickBot="1">
      <c r="A23" s="39" t="str">
        <f t="shared" si="0"/>
        <v>IBVS 5676 </v>
      </c>
      <c r="B23" s="5" t="str">
        <f t="shared" si="1"/>
        <v>I</v>
      </c>
      <c r="C23" s="39">
        <f t="shared" si="2"/>
        <v>52789.465799999998</v>
      </c>
      <c r="D23" s="12" t="str">
        <f t="shared" si="3"/>
        <v>vis</v>
      </c>
      <c r="E23" s="53">
        <f>VLOOKUP(C23,Active!C$21:E$970,3,FALSE)</f>
        <v>31213.103977860788</v>
      </c>
      <c r="F23" s="5" t="s">
        <v>66</v>
      </c>
      <c r="G23" s="12" t="str">
        <f t="shared" si="4"/>
        <v>52789.4658</v>
      </c>
      <c r="H23" s="39">
        <f t="shared" si="5"/>
        <v>-13556</v>
      </c>
      <c r="I23" s="54" t="s">
        <v>120</v>
      </c>
      <c r="J23" s="55" t="s">
        <v>121</v>
      </c>
      <c r="K23" s="54" t="s">
        <v>122</v>
      </c>
      <c r="L23" s="54" t="s">
        <v>123</v>
      </c>
      <c r="M23" s="55" t="s">
        <v>71</v>
      </c>
      <c r="N23" s="55" t="s">
        <v>72</v>
      </c>
      <c r="O23" s="56" t="s">
        <v>124</v>
      </c>
      <c r="P23" s="57" t="s">
        <v>125</v>
      </c>
    </row>
    <row r="24" spans="1:16" ht="12.75" customHeight="1" thickBot="1">
      <c r="A24" s="39" t="str">
        <f t="shared" si="0"/>
        <v>IBVS 5676 </v>
      </c>
      <c r="B24" s="5" t="str">
        <f t="shared" si="1"/>
        <v>I</v>
      </c>
      <c r="C24" s="39">
        <f t="shared" si="2"/>
        <v>52863.326999999997</v>
      </c>
      <c r="D24" s="12" t="str">
        <f t="shared" si="3"/>
        <v>vis</v>
      </c>
      <c r="E24" s="53">
        <f>VLOOKUP(C24,Active!C$21:E$970,3,FALSE)</f>
        <v>31487.103391735629</v>
      </c>
      <c r="F24" s="5" t="s">
        <v>66</v>
      </c>
      <c r="G24" s="12" t="str">
        <f t="shared" si="4"/>
        <v>52863.3270</v>
      </c>
      <c r="H24" s="39">
        <f t="shared" si="5"/>
        <v>-13282</v>
      </c>
      <c r="I24" s="54" t="s">
        <v>126</v>
      </c>
      <c r="J24" s="55" t="s">
        <v>127</v>
      </c>
      <c r="K24" s="54" t="s">
        <v>128</v>
      </c>
      <c r="L24" s="54" t="s">
        <v>129</v>
      </c>
      <c r="M24" s="55" t="s">
        <v>71</v>
      </c>
      <c r="N24" s="55" t="s">
        <v>72</v>
      </c>
      <c r="O24" s="56" t="s">
        <v>124</v>
      </c>
      <c r="P24" s="57" t="s">
        <v>125</v>
      </c>
    </row>
    <row r="25" spans="1:16" ht="12.75" customHeight="1" thickBot="1">
      <c r="A25" s="39" t="str">
        <f t="shared" si="0"/>
        <v>IBVS 5592 </v>
      </c>
      <c r="B25" s="5" t="str">
        <f t="shared" si="1"/>
        <v>I</v>
      </c>
      <c r="C25" s="39">
        <f t="shared" si="2"/>
        <v>53148.259400000003</v>
      </c>
      <c r="D25" s="12" t="str">
        <f t="shared" si="3"/>
        <v>vis</v>
      </c>
      <c r="E25" s="53">
        <f>VLOOKUP(C25,Active!C$21:E$970,3,FALSE)</f>
        <v>32544.10369221753</v>
      </c>
      <c r="F25" s="5" t="s">
        <v>66</v>
      </c>
      <c r="G25" s="12" t="str">
        <f t="shared" si="4"/>
        <v>53148.2594</v>
      </c>
      <c r="H25" s="39">
        <f t="shared" si="5"/>
        <v>-12225</v>
      </c>
      <c r="I25" s="54" t="s">
        <v>130</v>
      </c>
      <c r="J25" s="55" t="s">
        <v>131</v>
      </c>
      <c r="K25" s="54" t="s">
        <v>132</v>
      </c>
      <c r="L25" s="54" t="s">
        <v>133</v>
      </c>
      <c r="M25" s="55" t="s">
        <v>71</v>
      </c>
      <c r="N25" s="55" t="s">
        <v>72</v>
      </c>
      <c r="O25" s="56" t="s">
        <v>134</v>
      </c>
      <c r="P25" s="57" t="s">
        <v>135</v>
      </c>
    </row>
    <row r="26" spans="1:16" ht="12.75" customHeight="1" thickBot="1">
      <c r="A26" s="39" t="str">
        <f t="shared" si="0"/>
        <v>BAVM 178 </v>
      </c>
      <c r="B26" s="5" t="str">
        <f t="shared" si="1"/>
        <v>II</v>
      </c>
      <c r="C26" s="39">
        <f t="shared" si="2"/>
        <v>53534.413099999998</v>
      </c>
      <c r="D26" s="12" t="str">
        <f t="shared" si="3"/>
        <v>vis</v>
      </c>
      <c r="E26" s="53">
        <f>VLOOKUP(C26,Active!C$21:E$970,3,FALSE)</f>
        <v>33976.599880549169</v>
      </c>
      <c r="F26" s="5" t="s">
        <v>66</v>
      </c>
      <c r="G26" s="12" t="str">
        <f t="shared" si="4"/>
        <v>53534.4131</v>
      </c>
      <c r="H26" s="39">
        <f t="shared" si="5"/>
        <v>-10792.5</v>
      </c>
      <c r="I26" s="54" t="s">
        <v>136</v>
      </c>
      <c r="J26" s="55" t="s">
        <v>137</v>
      </c>
      <c r="K26" s="54" t="s">
        <v>138</v>
      </c>
      <c r="L26" s="54" t="s">
        <v>139</v>
      </c>
      <c r="M26" s="55" t="s">
        <v>85</v>
      </c>
      <c r="N26" s="55" t="s">
        <v>86</v>
      </c>
      <c r="O26" s="56" t="s">
        <v>140</v>
      </c>
      <c r="P26" s="57" t="s">
        <v>141</v>
      </c>
    </row>
    <row r="27" spans="1:16" ht="12.75" customHeight="1" thickBot="1">
      <c r="A27" s="39" t="str">
        <f t="shared" si="0"/>
        <v>OEJV 0074 </v>
      </c>
      <c r="B27" s="5" t="str">
        <f t="shared" si="1"/>
        <v>I</v>
      </c>
      <c r="C27" s="39">
        <f t="shared" si="2"/>
        <v>54172.614580000001</v>
      </c>
      <c r="D27" s="12" t="str">
        <f t="shared" si="3"/>
        <v>vis</v>
      </c>
      <c r="E27" s="53">
        <f>VLOOKUP(C27,Active!C$21:E$970,3,FALSE)</f>
        <v>36344.1058438162</v>
      </c>
      <c r="F27" s="5" t="s">
        <v>66</v>
      </c>
      <c r="G27" s="12" t="str">
        <f t="shared" si="4"/>
        <v>54172.61458</v>
      </c>
      <c r="H27" s="39">
        <f t="shared" si="5"/>
        <v>-8425</v>
      </c>
      <c r="I27" s="54" t="s">
        <v>142</v>
      </c>
      <c r="J27" s="55" t="s">
        <v>143</v>
      </c>
      <c r="K27" s="54" t="s">
        <v>144</v>
      </c>
      <c r="L27" s="54" t="s">
        <v>145</v>
      </c>
      <c r="M27" s="55" t="s">
        <v>85</v>
      </c>
      <c r="N27" s="55" t="s">
        <v>146</v>
      </c>
      <c r="O27" s="56" t="s">
        <v>147</v>
      </c>
      <c r="P27" s="57" t="s">
        <v>88</v>
      </c>
    </row>
    <row r="28" spans="1:16" ht="12.75" customHeight="1" thickBot="1">
      <c r="A28" s="39" t="str">
        <f t="shared" si="0"/>
        <v>IBVS 5894 </v>
      </c>
      <c r="B28" s="5" t="str">
        <f t="shared" si="1"/>
        <v>II</v>
      </c>
      <c r="C28" s="39">
        <f t="shared" si="2"/>
        <v>54950.720300000001</v>
      </c>
      <c r="D28" s="12" t="str">
        <f t="shared" si="3"/>
        <v>vis</v>
      </c>
      <c r="E28" s="53">
        <f>VLOOKUP(C28,Active!C$21:E$970,3,FALSE)</f>
        <v>39230.607975011786</v>
      </c>
      <c r="F28" s="5" t="s">
        <v>66</v>
      </c>
      <c r="G28" s="12" t="str">
        <f t="shared" si="4"/>
        <v>54950.7203</v>
      </c>
      <c r="H28" s="39">
        <f t="shared" si="5"/>
        <v>-5538.5</v>
      </c>
      <c r="I28" s="54" t="s">
        <v>148</v>
      </c>
      <c r="J28" s="55" t="s">
        <v>149</v>
      </c>
      <c r="K28" s="54" t="s">
        <v>150</v>
      </c>
      <c r="L28" s="54" t="s">
        <v>151</v>
      </c>
      <c r="M28" s="55" t="s">
        <v>85</v>
      </c>
      <c r="N28" s="55" t="s">
        <v>66</v>
      </c>
      <c r="O28" s="56" t="s">
        <v>152</v>
      </c>
      <c r="P28" s="57" t="s">
        <v>153</v>
      </c>
    </row>
    <row r="29" spans="1:16" ht="12.75" customHeight="1" thickBot="1">
      <c r="A29" s="39" t="str">
        <f t="shared" si="0"/>
        <v>IBVS 5894 </v>
      </c>
      <c r="B29" s="5" t="str">
        <f t="shared" si="1"/>
        <v>I</v>
      </c>
      <c r="C29" s="39">
        <f t="shared" si="2"/>
        <v>54950.853999999999</v>
      </c>
      <c r="D29" s="12" t="str">
        <f t="shared" si="3"/>
        <v>vis</v>
      </c>
      <c r="E29" s="53">
        <f>VLOOKUP(C29,Active!C$21:E$970,3,FALSE)</f>
        <v>39231.103955602877</v>
      </c>
      <c r="F29" s="5" t="s">
        <v>66</v>
      </c>
      <c r="G29" s="12" t="str">
        <f t="shared" si="4"/>
        <v>54950.854</v>
      </c>
      <c r="H29" s="39">
        <f t="shared" si="5"/>
        <v>-5538</v>
      </c>
      <c r="I29" s="54" t="s">
        <v>154</v>
      </c>
      <c r="J29" s="55" t="s">
        <v>155</v>
      </c>
      <c r="K29" s="54" t="s">
        <v>156</v>
      </c>
      <c r="L29" s="54" t="s">
        <v>157</v>
      </c>
      <c r="M29" s="55" t="s">
        <v>85</v>
      </c>
      <c r="N29" s="55" t="s">
        <v>66</v>
      </c>
      <c r="O29" s="56" t="s">
        <v>152</v>
      </c>
      <c r="P29" s="57" t="s">
        <v>153</v>
      </c>
    </row>
    <row r="30" spans="1:16" ht="12.75" customHeight="1" thickBot="1">
      <c r="A30" s="39" t="str">
        <f t="shared" si="0"/>
        <v>IBVS 5992 </v>
      </c>
      <c r="B30" s="5" t="str">
        <f t="shared" si="1"/>
        <v>I</v>
      </c>
      <c r="C30" s="39">
        <f t="shared" si="2"/>
        <v>55629.893100000001</v>
      </c>
      <c r="D30" s="12" t="str">
        <f t="shared" si="3"/>
        <v>vis</v>
      </c>
      <c r="E30" s="53">
        <f>VLOOKUP(C30,Active!C$21:E$970,3,FALSE)</f>
        <v>41750.103313832929</v>
      </c>
      <c r="F30" s="5" t="s">
        <v>66</v>
      </c>
      <c r="G30" s="12" t="str">
        <f t="shared" si="4"/>
        <v>55629.8931</v>
      </c>
      <c r="H30" s="39">
        <f t="shared" si="5"/>
        <v>-3019</v>
      </c>
      <c r="I30" s="54" t="s">
        <v>158</v>
      </c>
      <c r="J30" s="55" t="s">
        <v>159</v>
      </c>
      <c r="K30" s="54" t="s">
        <v>160</v>
      </c>
      <c r="L30" s="54" t="s">
        <v>161</v>
      </c>
      <c r="M30" s="55" t="s">
        <v>85</v>
      </c>
      <c r="N30" s="55" t="s">
        <v>66</v>
      </c>
      <c r="O30" s="56" t="s">
        <v>152</v>
      </c>
      <c r="P30" s="57" t="s">
        <v>162</v>
      </c>
    </row>
    <row r="31" spans="1:16" ht="12.75" customHeight="1" thickBot="1">
      <c r="A31" s="39" t="str">
        <f t="shared" si="0"/>
        <v>IBVS 6029 </v>
      </c>
      <c r="B31" s="5" t="str">
        <f t="shared" si="1"/>
        <v>I</v>
      </c>
      <c r="C31" s="39">
        <f t="shared" si="2"/>
        <v>56001.895499999999</v>
      </c>
      <c r="D31" s="12" t="str">
        <f t="shared" si="3"/>
        <v>vis</v>
      </c>
      <c r="E31" s="53">
        <f>VLOOKUP(C31,Active!C$21:E$970,3,FALSE)</f>
        <v>43130.103091253746</v>
      </c>
      <c r="F31" s="5" t="s">
        <v>66</v>
      </c>
      <c r="G31" s="12" t="str">
        <f t="shared" si="4"/>
        <v>56001.8955</v>
      </c>
      <c r="H31" s="39">
        <f t="shared" si="5"/>
        <v>-1639</v>
      </c>
      <c r="I31" s="54" t="s">
        <v>163</v>
      </c>
      <c r="J31" s="55" t="s">
        <v>164</v>
      </c>
      <c r="K31" s="54" t="s">
        <v>165</v>
      </c>
      <c r="L31" s="54" t="s">
        <v>161</v>
      </c>
      <c r="M31" s="55" t="s">
        <v>85</v>
      </c>
      <c r="N31" s="55" t="s">
        <v>66</v>
      </c>
      <c r="O31" s="56" t="s">
        <v>152</v>
      </c>
      <c r="P31" s="57" t="s">
        <v>166</v>
      </c>
    </row>
    <row r="32" spans="1:16" ht="12.75" customHeight="1" thickBot="1">
      <c r="A32" s="39" t="str">
        <f t="shared" si="0"/>
        <v>IBVS 6063 </v>
      </c>
      <c r="B32" s="5" t="str">
        <f t="shared" si="1"/>
        <v>I</v>
      </c>
      <c r="C32" s="39">
        <f t="shared" si="2"/>
        <v>56443.712500000001</v>
      </c>
      <c r="D32" s="12" t="str">
        <f t="shared" si="3"/>
        <v>vis</v>
      </c>
      <c r="E32" s="53" t="e">
        <f>VLOOKUP(C32,Active!C$21:E$970,3,FALSE)</f>
        <v>#N/A</v>
      </c>
      <c r="F32" s="5" t="s">
        <v>66</v>
      </c>
      <c r="G32" s="12" t="str">
        <f t="shared" si="4"/>
        <v>56443.7125</v>
      </c>
      <c r="H32" s="39">
        <f t="shared" si="5"/>
        <v>0</v>
      </c>
      <c r="I32" s="54" t="s">
        <v>167</v>
      </c>
      <c r="J32" s="55" t="s">
        <v>168</v>
      </c>
      <c r="K32" s="54" t="s">
        <v>169</v>
      </c>
      <c r="L32" s="54" t="s">
        <v>170</v>
      </c>
      <c r="M32" s="55" t="s">
        <v>85</v>
      </c>
      <c r="N32" s="55" t="s">
        <v>66</v>
      </c>
      <c r="O32" s="56" t="s">
        <v>152</v>
      </c>
      <c r="P32" s="57" t="s">
        <v>171</v>
      </c>
    </row>
    <row r="33" spans="1:16" ht="12.75" customHeight="1" thickBot="1">
      <c r="A33" s="39" t="str">
        <f t="shared" si="0"/>
        <v>IBVS 6063 </v>
      </c>
      <c r="B33" s="5" t="str">
        <f t="shared" si="1"/>
        <v>I</v>
      </c>
      <c r="C33" s="39">
        <f t="shared" si="2"/>
        <v>56443.713300000003</v>
      </c>
      <c r="D33" s="12" t="str">
        <f t="shared" si="3"/>
        <v>vis</v>
      </c>
      <c r="E33" s="53" t="e">
        <f>VLOOKUP(C33,Active!C$21:E$970,3,FALSE)</f>
        <v>#N/A</v>
      </c>
      <c r="F33" s="5" t="s">
        <v>66</v>
      </c>
      <c r="G33" s="12" t="str">
        <f t="shared" si="4"/>
        <v>56443.7133</v>
      </c>
      <c r="H33" s="39">
        <f t="shared" si="5"/>
        <v>0</v>
      </c>
      <c r="I33" s="54" t="s">
        <v>172</v>
      </c>
      <c r="J33" s="55" t="s">
        <v>173</v>
      </c>
      <c r="K33" s="54" t="s">
        <v>169</v>
      </c>
      <c r="L33" s="54" t="s">
        <v>174</v>
      </c>
      <c r="M33" s="55" t="s">
        <v>85</v>
      </c>
      <c r="N33" s="55" t="s">
        <v>146</v>
      </c>
      <c r="O33" s="56" t="s">
        <v>152</v>
      </c>
      <c r="P33" s="57" t="s">
        <v>171</v>
      </c>
    </row>
    <row r="34" spans="1:16" ht="12.75" customHeight="1" thickBot="1">
      <c r="A34" s="39" t="str">
        <f t="shared" si="0"/>
        <v>IBVS 6063 </v>
      </c>
      <c r="B34" s="5" t="str">
        <f t="shared" si="1"/>
        <v>I</v>
      </c>
      <c r="C34" s="39">
        <f t="shared" si="2"/>
        <v>56443.714399999997</v>
      </c>
      <c r="D34" s="12" t="str">
        <f t="shared" si="3"/>
        <v>vis</v>
      </c>
      <c r="E34" s="53" t="e">
        <f>VLOOKUP(C34,Active!C$21:E$970,3,FALSE)</f>
        <v>#N/A</v>
      </c>
      <c r="F34" s="5" t="s">
        <v>66</v>
      </c>
      <c r="G34" s="12" t="str">
        <f t="shared" si="4"/>
        <v>56443.7144</v>
      </c>
      <c r="H34" s="39">
        <f t="shared" si="5"/>
        <v>0</v>
      </c>
      <c r="I34" s="54" t="s">
        <v>175</v>
      </c>
      <c r="J34" s="55" t="s">
        <v>176</v>
      </c>
      <c r="K34" s="54" t="s">
        <v>169</v>
      </c>
      <c r="L34" s="54" t="s">
        <v>177</v>
      </c>
      <c r="M34" s="55" t="s">
        <v>85</v>
      </c>
      <c r="N34" s="55" t="s">
        <v>178</v>
      </c>
      <c r="O34" s="56" t="s">
        <v>152</v>
      </c>
      <c r="P34" s="57" t="s">
        <v>171</v>
      </c>
    </row>
    <row r="35" spans="1:16" ht="12.75" customHeight="1" thickBot="1">
      <c r="A35" s="39" t="str">
        <f t="shared" si="0"/>
        <v>VSB 59 </v>
      </c>
      <c r="B35" s="5" t="str">
        <f t="shared" si="1"/>
        <v>I</v>
      </c>
      <c r="C35" s="39">
        <f t="shared" si="2"/>
        <v>56789.027699999999</v>
      </c>
      <c r="D35" s="12" t="str">
        <f t="shared" si="3"/>
        <v>vis</v>
      </c>
      <c r="E35" s="53">
        <f>VLOOKUP(C35,Active!C$21:E$970,3,FALSE)</f>
        <v>46050.090330047817</v>
      </c>
      <c r="F35" s="5" t="s">
        <v>66</v>
      </c>
      <c r="G35" s="12" t="str">
        <f t="shared" si="4"/>
        <v>56789.02770</v>
      </c>
      <c r="H35" s="39">
        <f t="shared" si="5"/>
        <v>1281</v>
      </c>
      <c r="I35" s="54" t="s">
        <v>179</v>
      </c>
      <c r="J35" s="55" t="s">
        <v>180</v>
      </c>
      <c r="K35" s="54" t="s">
        <v>181</v>
      </c>
      <c r="L35" s="54" t="s">
        <v>182</v>
      </c>
      <c r="M35" s="55" t="s">
        <v>85</v>
      </c>
      <c r="N35" s="55" t="s">
        <v>183</v>
      </c>
      <c r="O35" s="56" t="s">
        <v>184</v>
      </c>
      <c r="P35" s="57" t="s">
        <v>185</v>
      </c>
    </row>
    <row r="36" spans="1:16">
      <c r="B36" s="5"/>
      <c r="F36" s="5"/>
    </row>
    <row r="37" spans="1:16">
      <c r="B37" s="5"/>
      <c r="F37" s="5"/>
    </row>
    <row r="38" spans="1:16">
      <c r="B38" s="5"/>
      <c r="F38" s="5"/>
    </row>
    <row r="39" spans="1:16">
      <c r="B39" s="5"/>
      <c r="F39" s="5"/>
    </row>
    <row r="40" spans="1:16">
      <c r="B40" s="5"/>
      <c r="F40" s="5"/>
    </row>
    <row r="41" spans="1:16">
      <c r="B41" s="5"/>
      <c r="F41" s="5"/>
    </row>
    <row r="42" spans="1:16">
      <c r="B42" s="5"/>
      <c r="F42" s="5"/>
    </row>
    <row r="43" spans="1:16">
      <c r="B43" s="5"/>
      <c r="F43" s="5"/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</sheetData>
  <phoneticPr fontId="7" type="noConversion"/>
  <hyperlinks>
    <hyperlink ref="P14" r:id="rId1" display="http://var.astro.cz/oejv/issues/oejv0074.pdf"/>
    <hyperlink ref="P15" r:id="rId2" display="http://var.astro.cz/oejv/issues/oejv0074.pdf"/>
    <hyperlink ref="P16" r:id="rId3" display="http://var.astro.cz/oejv/issues/oejv0074.pdf"/>
    <hyperlink ref="P17" r:id="rId4" display="http://var.astro.cz/oejv/issues/oejv0074.pdf"/>
    <hyperlink ref="P18" r:id="rId5" display="http://www.bav-astro.de/sfs/BAVM_link.php?BAVMnr=152"/>
    <hyperlink ref="P19" r:id="rId6" display="http://www.bav-astro.de/sfs/BAVM_link.php?BAVMnr=152"/>
    <hyperlink ref="P20" r:id="rId7" display="http://www.bav-astro.de/sfs/BAVM_link.php?BAVMnr=158"/>
    <hyperlink ref="P21" r:id="rId8" display="http://www.bav-astro.de/sfs/BAVM_link.php?BAVMnr=158"/>
    <hyperlink ref="P22" r:id="rId9" display="http://www.bav-astro.de/sfs/BAVM_link.php?BAVMnr=158"/>
    <hyperlink ref="P23" r:id="rId10" display="http://www.konkoly.hu/cgi-bin/IBVS?5676"/>
    <hyperlink ref="P24" r:id="rId11" display="http://www.konkoly.hu/cgi-bin/IBVS?5676"/>
    <hyperlink ref="P25" r:id="rId12" display="http://www.konkoly.hu/cgi-bin/IBVS?5592"/>
    <hyperlink ref="P26" r:id="rId13" display="http://www.bav-astro.de/sfs/BAVM_link.php?BAVMnr=178"/>
    <hyperlink ref="P27" r:id="rId14" display="http://var.astro.cz/oejv/issues/oejv0074.pdf"/>
    <hyperlink ref="P28" r:id="rId15" display="http://www.konkoly.hu/cgi-bin/IBVS?5894"/>
    <hyperlink ref="P29" r:id="rId16" display="http://www.konkoly.hu/cgi-bin/IBVS?5894"/>
    <hyperlink ref="P30" r:id="rId17" display="http://www.konkoly.hu/cgi-bin/IBVS?5992"/>
    <hyperlink ref="P31" r:id="rId18" display="http://www.konkoly.hu/cgi-bin/IBVS?6029"/>
    <hyperlink ref="P32" r:id="rId19" display="http://www.konkoly.hu/cgi-bin/IBVS?6063"/>
    <hyperlink ref="P33" r:id="rId20" display="http://www.konkoly.hu/cgi-bin/IBVS?6063"/>
    <hyperlink ref="P34" r:id="rId21" display="http://www.konkoly.hu/cgi-bin/IBVS?6063"/>
    <hyperlink ref="P35" r:id="rId22" display="http://vsolj.cetus-net.org/vsoljno59.pdf"/>
  </hyperlinks>
  <pageMargins left="0.75" right="0.75" top="1" bottom="1" header="0.5" footer="0.5"/>
  <pageSetup orientation="portrait" horizontalDpi="300" verticalDpi="300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2023-01-12T03:57:32Z</dcterms:modified>
</cp:coreProperties>
</file>