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B464A0B-1661-49A7-B1AD-C9050D78D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E96" i="1" l="1"/>
  <c r="F96" i="1" s="1"/>
  <c r="G96" i="1" s="1"/>
  <c r="K96" i="1" s="1"/>
  <c r="Q96" i="1"/>
  <c r="E99" i="1"/>
  <c r="F99" i="1" s="1"/>
  <c r="G99" i="1" s="1"/>
  <c r="K99" i="1" s="1"/>
  <c r="Q99" i="1"/>
  <c r="Q98" i="1"/>
  <c r="Q97" i="1"/>
  <c r="D9" i="1"/>
  <c r="C9" i="1"/>
  <c r="Q95" i="1"/>
  <c r="Q93" i="1"/>
  <c r="Q94" i="1"/>
  <c r="C7" i="1"/>
  <c r="E98" i="1"/>
  <c r="F98" i="1"/>
  <c r="C8" i="1"/>
  <c r="E89" i="1"/>
  <c r="F89" i="1" s="1"/>
  <c r="E88" i="1"/>
  <c r="F88" i="1" s="1"/>
  <c r="E24" i="1"/>
  <c r="F24" i="1"/>
  <c r="G24" i="1"/>
  <c r="I24" i="1" s="1"/>
  <c r="E25" i="1"/>
  <c r="F25" i="1"/>
  <c r="G25" i="1" s="1"/>
  <c r="I25" i="1" s="1"/>
  <c r="E28" i="1"/>
  <c r="F28" i="1"/>
  <c r="G28" i="1"/>
  <c r="I28" i="1" s="1"/>
  <c r="E29" i="1"/>
  <c r="F29" i="1"/>
  <c r="G29" i="1" s="1"/>
  <c r="I29" i="1" s="1"/>
  <c r="E32" i="1"/>
  <c r="F32" i="1"/>
  <c r="G32" i="1"/>
  <c r="I32" i="1" s="1"/>
  <c r="E33" i="1"/>
  <c r="F33" i="1"/>
  <c r="G33" i="1" s="1"/>
  <c r="I33" i="1" s="1"/>
  <c r="E36" i="1"/>
  <c r="F36" i="1"/>
  <c r="G36" i="1"/>
  <c r="I36" i="1" s="1"/>
  <c r="E37" i="1"/>
  <c r="F37" i="1"/>
  <c r="G37" i="1" s="1"/>
  <c r="H37" i="1" s="1"/>
  <c r="E40" i="1"/>
  <c r="F40" i="1"/>
  <c r="G40" i="1"/>
  <c r="I40" i="1" s="1"/>
  <c r="E41" i="1"/>
  <c r="F41" i="1"/>
  <c r="G41" i="1" s="1"/>
  <c r="I41" i="1" s="1"/>
  <c r="E44" i="1"/>
  <c r="F44" i="1"/>
  <c r="G44" i="1"/>
  <c r="I44" i="1" s="1"/>
  <c r="E45" i="1"/>
  <c r="F45" i="1"/>
  <c r="G45" i="1" s="1"/>
  <c r="I45" i="1" s="1"/>
  <c r="E46" i="1"/>
  <c r="F46" i="1"/>
  <c r="G46" i="1"/>
  <c r="I46" i="1" s="1"/>
  <c r="E47" i="1"/>
  <c r="F47" i="1"/>
  <c r="G47" i="1" s="1"/>
  <c r="I47" i="1" s="1"/>
  <c r="E48" i="1"/>
  <c r="F48" i="1"/>
  <c r="G48" i="1"/>
  <c r="I48" i="1" s="1"/>
  <c r="E49" i="1"/>
  <c r="F49" i="1"/>
  <c r="G49" i="1" s="1"/>
  <c r="I49" i="1" s="1"/>
  <c r="E50" i="1"/>
  <c r="F50" i="1"/>
  <c r="G50" i="1"/>
  <c r="I50" i="1" s="1"/>
  <c r="E56" i="1"/>
  <c r="F56" i="1"/>
  <c r="G56" i="1" s="1"/>
  <c r="I56" i="1" s="1"/>
  <c r="E57" i="1"/>
  <c r="F57" i="1"/>
  <c r="G57" i="1"/>
  <c r="I57" i="1" s="1"/>
  <c r="E58" i="1"/>
  <c r="F58" i="1"/>
  <c r="G58" i="1" s="1"/>
  <c r="I58" i="1" s="1"/>
  <c r="E59" i="1"/>
  <c r="F59" i="1"/>
  <c r="G59" i="1"/>
  <c r="I59" i="1" s="1"/>
  <c r="E60" i="1"/>
  <c r="F60" i="1"/>
  <c r="G60" i="1" s="1"/>
  <c r="I60" i="1" s="1"/>
  <c r="E61" i="1"/>
  <c r="F61" i="1"/>
  <c r="G61" i="1"/>
  <c r="I61" i="1" s="1"/>
  <c r="E62" i="1"/>
  <c r="F62" i="1"/>
  <c r="G62" i="1" s="1"/>
  <c r="I62" i="1" s="1"/>
  <c r="E63" i="1"/>
  <c r="F63" i="1"/>
  <c r="G63" i="1"/>
  <c r="I63" i="1"/>
  <c r="E64" i="1"/>
  <c r="F64" i="1" s="1"/>
  <c r="G64" i="1" s="1"/>
  <c r="I64" i="1" s="1"/>
  <c r="E65" i="1"/>
  <c r="F65" i="1"/>
  <c r="G65" i="1"/>
  <c r="I65" i="1"/>
  <c r="E66" i="1"/>
  <c r="F66" i="1" s="1"/>
  <c r="G66" i="1" s="1"/>
  <c r="I66" i="1" s="1"/>
  <c r="E67" i="1"/>
  <c r="F67" i="1"/>
  <c r="G67" i="1"/>
  <c r="I67" i="1"/>
  <c r="E68" i="1"/>
  <c r="F68" i="1" s="1"/>
  <c r="G68" i="1" s="1"/>
  <c r="I68" i="1" s="1"/>
  <c r="E69" i="1"/>
  <c r="F69" i="1"/>
  <c r="G69" i="1"/>
  <c r="I69" i="1"/>
  <c r="E71" i="1"/>
  <c r="F71" i="1" s="1"/>
  <c r="G71" i="1" s="1"/>
  <c r="I71" i="1" s="1"/>
  <c r="E72" i="1"/>
  <c r="F72" i="1"/>
  <c r="G72" i="1"/>
  <c r="I72" i="1"/>
  <c r="E74" i="1"/>
  <c r="F74" i="1" s="1"/>
  <c r="G74" i="1" s="1"/>
  <c r="I74" i="1" s="1"/>
  <c r="E75" i="1"/>
  <c r="F75" i="1"/>
  <c r="G75" i="1"/>
  <c r="K75" i="1"/>
  <c r="E77" i="1"/>
  <c r="F77" i="1" s="1"/>
  <c r="G77" i="1" s="1"/>
  <c r="K77" i="1" s="1"/>
  <c r="E78" i="1"/>
  <c r="F78" i="1"/>
  <c r="G78" i="1"/>
  <c r="K78" i="1"/>
  <c r="E79" i="1"/>
  <c r="F79" i="1" s="1"/>
  <c r="G79" i="1" s="1"/>
  <c r="K79" i="1" s="1"/>
  <c r="E80" i="1"/>
  <c r="F80" i="1"/>
  <c r="G80" i="1"/>
  <c r="K80" i="1"/>
  <c r="E23" i="1"/>
  <c r="F23" i="1" s="1"/>
  <c r="G23" i="1" s="1"/>
  <c r="H23" i="1" s="1"/>
  <c r="E70" i="1"/>
  <c r="F70" i="1" s="1"/>
  <c r="G70" i="1" s="1"/>
  <c r="J70" i="1" s="1"/>
  <c r="E73" i="1"/>
  <c r="F73" i="1"/>
  <c r="G73" i="1"/>
  <c r="J73" i="1" s="1"/>
  <c r="E76" i="1"/>
  <c r="F76" i="1"/>
  <c r="G76" i="1" s="1"/>
  <c r="K76" i="1" s="1"/>
  <c r="E81" i="1"/>
  <c r="F81" i="1"/>
  <c r="G81" i="1"/>
  <c r="J81" i="1" s="1"/>
  <c r="E82" i="1"/>
  <c r="F82" i="1" s="1"/>
  <c r="G82" i="1" s="1"/>
  <c r="J82" i="1" s="1"/>
  <c r="E91" i="1"/>
  <c r="F91" i="1"/>
  <c r="G91" i="1"/>
  <c r="J91" i="1"/>
  <c r="E92" i="1"/>
  <c r="F92" i="1" s="1"/>
  <c r="G92" i="1" s="1"/>
  <c r="J92" i="1" s="1"/>
  <c r="E85" i="1"/>
  <c r="F85" i="1"/>
  <c r="G85" i="1"/>
  <c r="J85" i="1"/>
  <c r="E84" i="1"/>
  <c r="F84" i="1" s="1"/>
  <c r="G84" i="1" s="1"/>
  <c r="I84" i="1" s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4" i="1"/>
  <c r="Q75" i="1"/>
  <c r="Q77" i="1"/>
  <c r="Q78" i="1"/>
  <c r="Q79" i="1"/>
  <c r="Q80" i="1"/>
  <c r="G22" i="3"/>
  <c r="C22" i="3"/>
  <c r="E22" i="3"/>
  <c r="G21" i="3"/>
  <c r="C21" i="3"/>
  <c r="E21" i="3"/>
  <c r="G20" i="3"/>
  <c r="C20" i="3"/>
  <c r="G19" i="3"/>
  <c r="C19" i="3"/>
  <c r="G18" i="3"/>
  <c r="C18" i="3"/>
  <c r="E18" i="3"/>
  <c r="G17" i="3"/>
  <c r="C17" i="3"/>
  <c r="G16" i="3"/>
  <c r="C16" i="3"/>
  <c r="G15" i="3"/>
  <c r="C15" i="3"/>
  <c r="E15" i="3"/>
  <c r="G80" i="3"/>
  <c r="C80" i="3"/>
  <c r="E80" i="3"/>
  <c r="G14" i="3"/>
  <c r="C14" i="3"/>
  <c r="E14" i="3"/>
  <c r="G13" i="3"/>
  <c r="C13" i="3"/>
  <c r="E13" i="3"/>
  <c r="G79" i="3"/>
  <c r="C79" i="3"/>
  <c r="E79" i="3"/>
  <c r="G78" i="3"/>
  <c r="C78" i="3"/>
  <c r="E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G12" i="3"/>
  <c r="C12" i="3"/>
  <c r="E12" i="3"/>
  <c r="G72" i="3"/>
  <c r="C72" i="3"/>
  <c r="E72" i="3"/>
  <c r="G71" i="3"/>
  <c r="C71" i="3"/>
  <c r="E71" i="3"/>
  <c r="G11" i="3"/>
  <c r="C11" i="3"/>
  <c r="E1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G55" i="3"/>
  <c r="C55" i="3"/>
  <c r="G54" i="3"/>
  <c r="C54" i="3"/>
  <c r="G53" i="3"/>
  <c r="C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G43" i="3"/>
  <c r="C43" i="3"/>
  <c r="G42" i="3"/>
  <c r="C42" i="3"/>
  <c r="E42" i="3"/>
  <c r="G41" i="3"/>
  <c r="C41" i="3"/>
  <c r="E41" i="3"/>
  <c r="G40" i="3"/>
  <c r="C40" i="3"/>
  <c r="G39" i="3"/>
  <c r="C39" i="3"/>
  <c r="G38" i="3"/>
  <c r="C38" i="3"/>
  <c r="E38" i="3"/>
  <c r="G37" i="3"/>
  <c r="C37" i="3"/>
  <c r="E37" i="3"/>
  <c r="G36" i="3"/>
  <c r="C36" i="3"/>
  <c r="G35" i="3"/>
  <c r="C35" i="3"/>
  <c r="G34" i="3"/>
  <c r="C34" i="3"/>
  <c r="E34" i="3"/>
  <c r="G33" i="3"/>
  <c r="C33" i="3"/>
  <c r="E33" i="3"/>
  <c r="G32" i="3"/>
  <c r="C32" i="3"/>
  <c r="G31" i="3"/>
  <c r="C31" i="3"/>
  <c r="G30" i="3"/>
  <c r="C30" i="3"/>
  <c r="E30" i="3"/>
  <c r="G29" i="3"/>
  <c r="C29" i="3"/>
  <c r="E29" i="3"/>
  <c r="G28" i="3"/>
  <c r="C28" i="3"/>
  <c r="G27" i="3"/>
  <c r="C27" i="3"/>
  <c r="G26" i="3"/>
  <c r="C26" i="3"/>
  <c r="E26" i="3"/>
  <c r="G25" i="3"/>
  <c r="C25" i="3"/>
  <c r="E25" i="3"/>
  <c r="G24" i="3"/>
  <c r="C24" i="3"/>
  <c r="G23" i="3"/>
  <c r="C23" i="3"/>
  <c r="H22" i="3"/>
  <c r="B22" i="3"/>
  <c r="F22" i="3"/>
  <c r="D22" i="3"/>
  <c r="A22" i="3"/>
  <c r="H21" i="3"/>
  <c r="B21" i="3"/>
  <c r="F21" i="3"/>
  <c r="D21" i="3"/>
  <c r="A21" i="3"/>
  <c r="H20" i="3"/>
  <c r="F20" i="3"/>
  <c r="D20" i="3"/>
  <c r="B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80" i="3"/>
  <c r="B80" i="3"/>
  <c r="D80" i="3"/>
  <c r="A80" i="3"/>
  <c r="H14" i="3"/>
  <c r="B14" i="3"/>
  <c r="D14" i="3"/>
  <c r="A14" i="3"/>
  <c r="H13" i="3"/>
  <c r="B13" i="3"/>
  <c r="D13" i="3"/>
  <c r="A13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12" i="3"/>
  <c r="B12" i="3"/>
  <c r="D12" i="3"/>
  <c r="A12" i="3"/>
  <c r="H72" i="3"/>
  <c r="B72" i="3"/>
  <c r="D72" i="3"/>
  <c r="A72" i="3"/>
  <c r="H71" i="3"/>
  <c r="B71" i="3"/>
  <c r="D71" i="3"/>
  <c r="A71" i="3"/>
  <c r="H11" i="3"/>
  <c r="B11" i="3"/>
  <c r="D11" i="3"/>
  <c r="A1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Q91" i="1"/>
  <c r="Q85" i="1"/>
  <c r="Q92" i="1"/>
  <c r="Q87" i="1"/>
  <c r="Q88" i="1"/>
  <c r="Q89" i="1"/>
  <c r="Q86" i="1"/>
  <c r="Q90" i="1"/>
  <c r="F16" i="1"/>
  <c r="F17" i="1" s="1"/>
  <c r="C17" i="1"/>
  <c r="Q84" i="1"/>
  <c r="Q83" i="1"/>
  <c r="Q70" i="1"/>
  <c r="Q73" i="1"/>
  <c r="Q76" i="1"/>
  <c r="Q81" i="1"/>
  <c r="Q82" i="1"/>
  <c r="Q23" i="1"/>
  <c r="E39" i="1"/>
  <c r="F39" i="1" s="1"/>
  <c r="G39" i="1" s="1"/>
  <c r="I39" i="1" s="1"/>
  <c r="E38" i="1"/>
  <c r="E39" i="3"/>
  <c r="E42" i="1"/>
  <c r="F42" i="1"/>
  <c r="G42" i="1" s="1"/>
  <c r="H42" i="1" s="1"/>
  <c r="F38" i="1"/>
  <c r="G38" i="1" s="1"/>
  <c r="I38" i="1" s="1"/>
  <c r="E34" i="1"/>
  <c r="E35" i="3"/>
  <c r="F34" i="1"/>
  <c r="G34" i="1" s="1"/>
  <c r="I34" i="1" s="1"/>
  <c r="E30" i="1"/>
  <c r="F30" i="1" s="1"/>
  <c r="G30" i="1" s="1"/>
  <c r="I30" i="1" s="1"/>
  <c r="E26" i="1"/>
  <c r="F26" i="1" s="1"/>
  <c r="G26" i="1" s="1"/>
  <c r="I26" i="1" s="1"/>
  <c r="E27" i="3"/>
  <c r="E90" i="1"/>
  <c r="F90" i="1" s="1"/>
  <c r="E86" i="1"/>
  <c r="F86" i="1"/>
  <c r="G86" i="1"/>
  <c r="E94" i="1"/>
  <c r="F94" i="1" s="1"/>
  <c r="G94" i="1" s="1"/>
  <c r="K94" i="1" s="1"/>
  <c r="E43" i="1"/>
  <c r="F43" i="1"/>
  <c r="G43" i="1"/>
  <c r="I43" i="1"/>
  <c r="E35" i="1"/>
  <c r="F35" i="1" s="1"/>
  <c r="G35" i="1" s="1"/>
  <c r="H35" i="1" s="1"/>
  <c r="E31" i="1"/>
  <c r="E27" i="1"/>
  <c r="E28" i="3"/>
  <c r="E22" i="1"/>
  <c r="E24" i="3" s="1"/>
  <c r="E16" i="3"/>
  <c r="E32" i="3"/>
  <c r="F31" i="1"/>
  <c r="G31" i="1"/>
  <c r="I31" i="1"/>
  <c r="F27" i="1"/>
  <c r="G27" i="1" s="1"/>
  <c r="I27" i="1" s="1"/>
  <c r="E44" i="3"/>
  <c r="E43" i="3"/>
  <c r="E31" i="3"/>
  <c r="E20" i="3"/>
  <c r="E19" i="3"/>
  <c r="E40" i="3"/>
  <c r="K86" i="1"/>
  <c r="N86" i="1" s="1"/>
  <c r="E93" i="1"/>
  <c r="F93" i="1"/>
  <c r="E95" i="1"/>
  <c r="F95" i="1"/>
  <c r="E53" i="1"/>
  <c r="F53" i="1" s="1"/>
  <c r="G53" i="1" s="1"/>
  <c r="I53" i="1" s="1"/>
  <c r="E51" i="1"/>
  <c r="E52" i="3" s="1"/>
  <c r="F51" i="1"/>
  <c r="G51" i="1"/>
  <c r="I51" i="1"/>
  <c r="E87" i="1"/>
  <c r="F87" i="1" s="1"/>
  <c r="E55" i="1"/>
  <c r="F55" i="1"/>
  <c r="G55" i="1" s="1"/>
  <c r="I55" i="1" s="1"/>
  <c r="E83" i="1"/>
  <c r="F83" i="1"/>
  <c r="G98" i="1"/>
  <c r="K98" i="1" s="1"/>
  <c r="E54" i="1"/>
  <c r="F54" i="1"/>
  <c r="G54" i="1" s="1"/>
  <c r="I54" i="1" s="1"/>
  <c r="E52" i="1"/>
  <c r="E53" i="3" s="1"/>
  <c r="F52" i="1"/>
  <c r="G52" i="1"/>
  <c r="I52" i="1" s="1"/>
  <c r="E21" i="1"/>
  <c r="E23" i="3" s="1"/>
  <c r="F21" i="1"/>
  <c r="G21" i="1" s="1"/>
  <c r="I21" i="1" s="1"/>
  <c r="G93" i="1"/>
  <c r="G95" i="1"/>
  <c r="K95" i="1"/>
  <c r="E97" i="1"/>
  <c r="F97" i="1" s="1"/>
  <c r="G97" i="1" s="1"/>
  <c r="K97" i="1" s="1"/>
  <c r="E56" i="3"/>
  <c r="K93" i="1"/>
  <c r="E55" i="3"/>
  <c r="K89" i="1" l="1"/>
  <c r="N89" i="1" s="1"/>
  <c r="G89" i="1"/>
  <c r="G90" i="1"/>
  <c r="K90" i="1"/>
  <c r="N90" i="1" s="1"/>
  <c r="G87" i="1"/>
  <c r="K87" i="1"/>
  <c r="N87" i="1" s="1"/>
  <c r="K88" i="1"/>
  <c r="N88" i="1" s="1"/>
  <c r="G88" i="1"/>
  <c r="E73" i="3"/>
  <c r="E76" i="3"/>
  <c r="E54" i="3"/>
  <c r="E17" i="3"/>
  <c r="F22" i="1"/>
  <c r="G22" i="1" s="1"/>
  <c r="I22" i="1" s="1"/>
  <c r="E36" i="3"/>
  <c r="C11" i="1"/>
  <c r="C12" i="1"/>
  <c r="C16" i="1" l="1"/>
  <c r="D18" i="1" s="1"/>
  <c r="O91" i="1"/>
  <c r="O73" i="1"/>
  <c r="O62" i="1"/>
  <c r="C15" i="1"/>
  <c r="F18" i="1" s="1"/>
  <c r="F19" i="1" s="1"/>
  <c r="O60" i="1"/>
  <c r="O92" i="1"/>
  <c r="O72" i="1"/>
  <c r="O66" i="1"/>
  <c r="O69" i="1"/>
  <c r="O22" i="1"/>
  <c r="O53" i="1"/>
  <c r="O71" i="1"/>
  <c r="O44" i="1"/>
  <c r="O31" i="1"/>
  <c r="O65" i="1"/>
  <c r="O24" i="1"/>
  <c r="O94" i="1"/>
  <c r="O23" i="1"/>
  <c r="O74" i="1"/>
  <c r="O21" i="1"/>
  <c r="O81" i="1"/>
  <c r="O89" i="1"/>
  <c r="O97" i="1"/>
  <c r="O67" i="1"/>
  <c r="O36" i="1"/>
  <c r="O61" i="1"/>
  <c r="O25" i="1"/>
  <c r="O48" i="1"/>
  <c r="O30" i="1"/>
  <c r="O26" i="1"/>
  <c r="O85" i="1"/>
  <c r="O86" i="1"/>
  <c r="O93" i="1"/>
  <c r="O45" i="1"/>
  <c r="O63" i="1"/>
  <c r="O54" i="1"/>
  <c r="O56" i="1"/>
  <c r="O52" i="1"/>
  <c r="O88" i="1"/>
  <c r="O41" i="1"/>
  <c r="O55" i="1"/>
  <c r="O51" i="1"/>
  <c r="O42" i="1"/>
  <c r="O95" i="1"/>
  <c r="O79" i="1"/>
  <c r="O68" i="1"/>
  <c r="O50" i="1"/>
  <c r="O83" i="1"/>
  <c r="O49" i="1"/>
  <c r="O35" i="1"/>
  <c r="O27" i="1"/>
  <c r="O32" i="1"/>
  <c r="O33" i="1"/>
  <c r="O43" i="1"/>
  <c r="O34" i="1"/>
  <c r="O84" i="1"/>
  <c r="O70" i="1"/>
  <c r="O57" i="1"/>
  <c r="O76" i="1"/>
  <c r="O38" i="1"/>
  <c r="O99" i="1"/>
  <c r="O58" i="1"/>
  <c r="O59" i="1"/>
  <c r="O87" i="1"/>
  <c r="O77" i="1"/>
  <c r="O98" i="1"/>
  <c r="O80" i="1"/>
  <c r="O37" i="1"/>
  <c r="O29" i="1"/>
  <c r="O28" i="1"/>
  <c r="O96" i="1"/>
  <c r="O75" i="1"/>
  <c r="O82" i="1"/>
  <c r="O64" i="1"/>
  <c r="O47" i="1"/>
  <c r="O78" i="1"/>
  <c r="O39" i="1"/>
  <c r="O40" i="1"/>
  <c r="O90" i="1"/>
  <c r="O46" i="1"/>
  <c r="C18" i="1" l="1"/>
</calcChain>
</file>

<file path=xl/sharedStrings.xml><?xml version="1.0" encoding="utf-8"?>
<sst xmlns="http://schemas.openxmlformats.org/spreadsheetml/2006/main" count="781" uniqueCount="336">
  <si>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</si>
  <si>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</si>
  <si>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</si>
  <si>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</si>
  <si>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</si>
  <si>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</si>
  <si>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</si>
  <si>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</si>
  <si>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</si>
  <si>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</si>
  <si>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</si>
  <si>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</si>
  <si>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</si>
  <si>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</si>
  <si>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</si>
  <si>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</si>
  <si>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</si>
  <si>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</si>
  <si>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</si>
  <si>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</si>
  <si>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</si>
  <si>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</si>
  <si>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</si>
  <si>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</si>
  <si>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</si>
  <si>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</si>
  <si>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I</t>
  </si>
  <si>
    <t>II</t>
  </si>
  <si>
    <t>IBVS 5296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</si>
  <si>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</si>
  <si>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</si>
  <si>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</si>
  <si>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</si>
  <si>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</si>
  <si>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</si>
  <si>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GT Cas / gsc 3665-1609</t>
  </si>
  <si>
    <t>System Type:</t>
  </si>
  <si>
    <t>EA/SD</t>
  </si>
  <si>
    <t>* Whitney, B.S., 1957, AJ, 62, 371</t>
  </si>
  <si>
    <t>GCVS 4*</t>
  </si>
  <si>
    <t>IBVS 4382</t>
  </si>
  <si>
    <t>IBVS 5371</t>
  </si>
  <si>
    <t>IBVS 5761</t>
  </si>
  <si>
    <t>S6</t>
  </si>
  <si>
    <t>Start of linear fit &gt;&gt;&gt;&gt;&gt;&gt;&gt;&gt;&gt;&gt;&gt;&gt;&gt;&gt;&gt;&gt;&gt;&gt;&gt;&gt;&gt;</t>
  </si>
  <si>
    <t>OEJV 0073</t>
  </si>
  <si>
    <t>OEJV 0074</t>
  </si>
  <si>
    <t>CCD+R</t>
  </si>
  <si>
    <t>Add cycle</t>
  </si>
  <si>
    <t>Old Cycle</t>
  </si>
  <si>
    <t>JAVSO..39...94</t>
  </si>
  <si>
    <t>JAVSO..38..183</t>
  </si>
  <si>
    <t>JAVSO..39..177</t>
  </si>
  <si>
    <t>IBVS 6070</t>
  </si>
  <si>
    <t>BAD?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</si>
  <si>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</si>
  <si>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</si>
  <si>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</si>
  <si>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</si>
  <si>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</si>
  <si>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</si>
  <si>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</si>
  <si>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</si>
  <si>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</si>
  <si>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</si>
  <si>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</si>
  <si>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</si>
  <si>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</si>
  <si>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</si>
  <si>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</si>
  <si>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2417095.54 </t>
  </si>
  <si>
    <t> 07.09.1905 00:57 </t>
  </si>
  <si>
    <t> 0.17 </t>
  </si>
  <si>
    <t>P </t>
  </si>
  <si>
    <t> B.V.Kukarkin </t>
  </si>
  <si>
    <t> PZ 6.69 </t>
  </si>
  <si>
    <t>2427341.42 </t>
  </si>
  <si>
    <t> 25.09.1933 22:04 </t>
  </si>
  <si>
    <t> -0.00 </t>
  </si>
  <si>
    <t>2427341.49 </t>
  </si>
  <si>
    <t> 25.09.1933 23:45 </t>
  </si>
  <si>
    <t> 0.07 </t>
  </si>
  <si>
    <t> P.Parenago </t>
  </si>
  <si>
    <t> PZ 5.162 </t>
  </si>
  <si>
    <t>2427751.34 </t>
  </si>
  <si>
    <t> 09.11.1934 20:09 </t>
  </si>
  <si>
    <t> 0.31 </t>
  </si>
  <si>
    <t>2428573.20 </t>
  </si>
  <si>
    <t> 08.02.1937 16:48 </t>
  </si>
  <si>
    <t> -0.02 </t>
  </si>
  <si>
    <t>2428576.21 </t>
  </si>
  <si>
    <t> 11.02.1937 17:02 </t>
  </si>
  <si>
    <t>2428576.22 </t>
  </si>
  <si>
    <t> 11.02.1937 17:16 </t>
  </si>
  <si>
    <t> 0.01 </t>
  </si>
  <si>
    <t>2428597.24 </t>
  </si>
  <si>
    <t> 04.03.1937 17:45 </t>
  </si>
  <si>
    <t> 0.10 </t>
  </si>
  <si>
    <t>2428776.53 </t>
  </si>
  <si>
    <t> 31.08.1937 00:43 </t>
  </si>
  <si>
    <t>2429117.399 </t>
  </si>
  <si>
    <t> 06.08.1938 21:34 </t>
  </si>
  <si>
    <t> 0.030 </t>
  </si>
  <si>
    <t> M.I.Lavrov </t>
  </si>
  <si>
    <t> TKZ 33.112 </t>
  </si>
  <si>
    <t>2429135.32 </t>
  </si>
  <si>
    <t> 24.08.1938 19:40 </t>
  </si>
  <si>
    <t>2429727.27 </t>
  </si>
  <si>
    <t> 07.04.1940 18:28 </t>
  </si>
  <si>
    <t>2431192.238 </t>
  </si>
  <si>
    <t> 11.04.1944 17:42 </t>
  </si>
  <si>
    <t> -0.055 </t>
  </si>
  <si>
    <t>2431404.563 </t>
  </si>
  <si>
    <t> 10.11.1944 01:30 </t>
  </si>
  <si>
    <t> -0.006 </t>
  </si>
  <si>
    <t> B.S.Whitney </t>
  </si>
  <si>
    <t> AJ 62.374 </t>
  </si>
  <si>
    <t>2431730.412 </t>
  </si>
  <si>
    <t> 01.10.1945 21:53 </t>
  </si>
  <si>
    <t> -0.045 </t>
  </si>
  <si>
    <t>2432609.466 </t>
  </si>
  <si>
    <t> 27.02.1948 23:11 </t>
  </si>
  <si>
    <t> 0.006 </t>
  </si>
  <si>
    <t>2433500.323 </t>
  </si>
  <si>
    <t> 06.08.1950 19:45 </t>
  </si>
  <si>
    <t> -0.098 </t>
  </si>
  <si>
    <t>2433506.312 </t>
  </si>
  <si>
    <t> 12.08.1950 19:29 </t>
  </si>
  <si>
    <t> -0.089 </t>
  </si>
  <si>
    <t>2433566.293 </t>
  </si>
  <si>
    <t> 11.10.1950 19:01 </t>
  </si>
  <si>
    <t> 0.096 </t>
  </si>
  <si>
    <t>2433569.179 </t>
  </si>
  <si>
    <t> 14.10.1950 16:17 </t>
  </si>
  <si>
    <t> -0.008 </t>
  </si>
  <si>
    <t>2435754.730 </t>
  </si>
  <si>
    <t> 08.10.1956 05:31 </t>
  </si>
  <si>
    <t>2437016.431 </t>
  </si>
  <si>
    <t> 22.03.1960 22:20 </t>
  </si>
  <si>
    <t> 0.000 </t>
  </si>
  <si>
    <t> T.Berthold </t>
  </si>
  <si>
    <t> HABZ 69 </t>
  </si>
  <si>
    <t>2437025.372 </t>
  </si>
  <si>
    <t> 31.03.1960 20:55 </t>
  </si>
  <si>
    <t> -0.028 </t>
  </si>
  <si>
    <t>2439088.363 </t>
  </si>
  <si>
    <t> 23.11.1965 20:42 </t>
  </si>
  <si>
    <t> -0.002 </t>
  </si>
  <si>
    <t>2441988.424 </t>
  </si>
  <si>
    <t> 01.11.1973 22:10 </t>
  </si>
  <si>
    <t> -0.051 </t>
  </si>
  <si>
    <t> A.Wicklein </t>
  </si>
  <si>
    <t> MVS 12.4 </t>
  </si>
  <si>
    <t>2442009.365 </t>
  </si>
  <si>
    <t> 22.11.1973 20:45 </t>
  </si>
  <si>
    <t> -0.038 </t>
  </si>
  <si>
    <t>2442009.407 </t>
  </si>
  <si>
    <t> 22.11.1973 21:46 </t>
  </si>
  <si>
    <t> 0.004 </t>
  </si>
  <si>
    <t>2442036.328 </t>
  </si>
  <si>
    <t> 19.12.1973 19:52 </t>
  </si>
  <si>
    <t> 0.016 </t>
  </si>
  <si>
    <t>2442069.322 </t>
  </si>
  <si>
    <t> 21.01.1974 19:43 </t>
  </si>
  <si>
    <t> 0.122 </t>
  </si>
  <si>
    <t>2442275.482 </t>
  </si>
  <si>
    <t> 15.08.1974 23:34 </t>
  </si>
  <si>
    <t> -0.014 </t>
  </si>
  <si>
    <t>2442302.445 </t>
  </si>
  <si>
    <t> 11.09.1974 22:40 </t>
  </si>
  <si>
    <t> 0.041 </t>
  </si>
  <si>
    <t>2443073.746 </t>
  </si>
  <si>
    <t> 22.10.1976 05:54 </t>
  </si>
  <si>
    <t>V </t>
  </si>
  <si>
    <t> G.Samolyk </t>
  </si>
  <si>
    <t> AOEB 12 </t>
  </si>
  <si>
    <t>2443483.337 </t>
  </si>
  <si>
    <t> 05.12.1977 20:05 </t>
  </si>
  <si>
    <t> -0.040 </t>
  </si>
  <si>
    <t>2444520.846 </t>
  </si>
  <si>
    <t> 08.10.1980 08:18 </t>
  </si>
  <si>
    <t> 0.007 </t>
  </si>
  <si>
    <t> C.Hesseltine </t>
  </si>
  <si>
    <t>2445211.519 </t>
  </si>
  <si>
    <t> 30.08.1982 00:27 </t>
  </si>
  <si>
    <t> 0.035 </t>
  </si>
  <si>
    <t>2445229.468 </t>
  </si>
  <si>
    <t> 16.09.1982 23:13 </t>
  </si>
  <si>
    <t> 0.046 </t>
  </si>
  <si>
    <t>2445238.489 </t>
  </si>
  <si>
    <t> 25.09.1982 23:44 </t>
  </si>
  <si>
    <t> 0.097 </t>
  </si>
  <si>
    <t>2445268.437 </t>
  </si>
  <si>
    <t> 25.10.1982 22:29 </t>
  </si>
  <si>
    <t> 0.147 </t>
  </si>
  <si>
    <t>2445525.508 </t>
  </si>
  <si>
    <t> 10.07.1983 00:11 </t>
  </si>
  <si>
    <t> 0.095 </t>
  </si>
  <si>
    <t>2445528.501 </t>
  </si>
  <si>
    <t> 13.07.1983 00:01 </t>
  </si>
  <si>
    <t> 0.098 </t>
  </si>
  <si>
    <t>2445531.512 </t>
  </si>
  <si>
    <t> 16.07.1983 00:17 </t>
  </si>
  <si>
    <t> 0.119 </t>
  </si>
  <si>
    <t>2445534.517 </t>
  </si>
  <si>
    <t> 19.07.1983 00:24 </t>
  </si>
  <si>
    <t> 0.135 </t>
  </si>
  <si>
    <t>2445555.441 </t>
  </si>
  <si>
    <t> 08.08.1983 22:35 </t>
  </si>
  <si>
    <t> 0.130 </t>
  </si>
  <si>
    <t>2446679.582 </t>
  </si>
  <si>
    <t> 06.09.1986 01:58 </t>
  </si>
  <si>
    <t> 0.105 </t>
  </si>
  <si>
    <t>2446763.351 </t>
  </si>
  <si>
    <t> 28.11.1986 20:25 </t>
  </si>
  <si>
    <t> 0.159 </t>
  </si>
  <si>
    <t>2447029.524 </t>
  </si>
  <si>
    <t> 22.08.1987 00:34 </t>
  </si>
  <si>
    <t> 0.240 </t>
  </si>
  <si>
    <t>2448132.556 </t>
  </si>
  <si>
    <t> 29.08.1990 01:20 </t>
  </si>
  <si>
    <t> 0.034 </t>
  </si>
  <si>
    <t>2448186.497 </t>
  </si>
  <si>
    <t> 21.10.1990 23:55 </t>
  </si>
  <si>
    <t> Moschner&amp;Kleikamp </t>
  </si>
  <si>
    <t>BAVM 79 </t>
  </si>
  <si>
    <t>2449938.5186 </t>
  </si>
  <si>
    <t> 09.08.1995 00:26 </t>
  </si>
  <si>
    <t> 0.1550 </t>
  </si>
  <si>
    <t>E </t>
  </si>
  <si>
    <t>o</t>
  </si>
  <si>
    <t> W.Moschner </t>
  </si>
  <si>
    <t>BAVM 90 </t>
  </si>
  <si>
    <t>2451140.413 </t>
  </si>
  <si>
    <t> 22.11.1998 21:54 </t>
  </si>
  <si>
    <t> 0.148 </t>
  </si>
  <si>
    <t> J.Vandenbroere </t>
  </si>
  <si>
    <t> BBS 121 </t>
  </si>
  <si>
    <t>2451185.284 </t>
  </si>
  <si>
    <t> 06.01.1999 18:48 </t>
  </si>
  <si>
    <t> 0.172 </t>
  </si>
  <si>
    <t>2451391.5531 </t>
  </si>
  <si>
    <t> 01.08.1999 01:16 </t>
  </si>
  <si>
    <t> 0.1447 </t>
  </si>
  <si>
    <t>BAVM 152 </t>
  </si>
  <si>
    <t>2451424.454 </t>
  </si>
  <si>
    <t> 02.09.1999 22:53 </t>
  </si>
  <si>
    <t> 0.158 </t>
  </si>
  <si>
    <t>2452264.5790 </t>
  </si>
  <si>
    <t> 21.12.2001 01:53 </t>
  </si>
  <si>
    <t> 0.1479 </t>
  </si>
  <si>
    <t>C </t>
  </si>
  <si>
    <t>ns</t>
  </si>
  <si>
    <t> G.Lubcke </t>
  </si>
  <si>
    <t>2452524.6942 </t>
  </si>
  <si>
    <t> 07.09.2002 04:39 </t>
  </si>
  <si>
    <t> 0.1501 </t>
  </si>
  <si>
    <t>?</t>
  </si>
  <si>
    <t> R.Nelson </t>
  </si>
  <si>
    <t>IBVS 5371 </t>
  </si>
  <si>
    <t>2452557.5814 </t>
  </si>
  <si>
    <t> 10.10.2002 01:57 </t>
  </si>
  <si>
    <t> 0.1495 </t>
  </si>
  <si>
    <t>2452557.5901 </t>
  </si>
  <si>
    <t> 10.10.2002 02:09 </t>
  </si>
  <si>
    <t> 0.1582 </t>
  </si>
  <si>
    <t>2453672.7927 </t>
  </si>
  <si>
    <t> 29.10.2005 07:01 </t>
  </si>
  <si>
    <t> 0.1639 </t>
  </si>
  <si>
    <t>2454016.6262 </t>
  </si>
  <si>
    <t> 08.10.2006 03:01 </t>
  </si>
  <si>
    <t> 0.1699 </t>
  </si>
  <si>
    <t>2454019.6202 </t>
  </si>
  <si>
    <t> 11.10.2006 02:53 </t>
  </si>
  <si>
    <t> 0.1741 </t>
  </si>
  <si>
    <t>-I</t>
  </si>
  <si>
    <t> F. Agerer </t>
  </si>
  <si>
    <t>BAVM 183 </t>
  </si>
  <si>
    <t>2454034.5664 </t>
  </si>
  <si>
    <t> 26.10.2006 01:35 </t>
  </si>
  <si>
    <t>8928</t>
  </si>
  <si>
    <t> 0.1713 </t>
  </si>
  <si>
    <t>2454351.487 </t>
  </si>
  <si>
    <t> 07.09.2007 23:41 </t>
  </si>
  <si>
    <t>9034</t>
  </si>
  <si>
    <t> 0.173 </t>
  </si>
  <si>
    <t> A.Paschke </t>
  </si>
  <si>
    <t>OEJV 0073 </t>
  </si>
  <si>
    <t>2454381.3884 </t>
  </si>
  <si>
    <t> 07.10.2007 21:19 </t>
  </si>
  <si>
    <t>9044</t>
  </si>
  <si>
    <t> 0.1760 </t>
  </si>
  <si>
    <t> W.Moschner &amp; P.Frank </t>
  </si>
  <si>
    <t>BAVM 234 </t>
  </si>
  <si>
    <t>2455182.6681 </t>
  </si>
  <si>
    <t> 17.12.2009 04:02 </t>
  </si>
  <si>
    <t>9312</t>
  </si>
  <si>
    <t> 0.1883 </t>
  </si>
  <si>
    <t> R.Poklar </t>
  </si>
  <si>
    <t> JAAVSO 38;120 </t>
  </si>
  <si>
    <t>2455436.8067 </t>
  </si>
  <si>
    <t> 28.08.2010 07:21 </t>
  </si>
  <si>
    <t>9397</t>
  </si>
  <si>
    <t> 0.1935 </t>
  </si>
  <si>
    <t> K.Menzies </t>
  </si>
  <si>
    <t> JAAVSO 39;94 </t>
  </si>
  <si>
    <t>2455439.7958 </t>
  </si>
  <si>
    <t> 31.08.2010 07:05 </t>
  </si>
  <si>
    <t>9398</t>
  </si>
  <si>
    <t> 0.1928 </t>
  </si>
  <si>
    <t>2455448.7651 </t>
  </si>
  <si>
    <t> 09.09.2010 06:21 </t>
  </si>
  <si>
    <t>9401</t>
  </si>
  <si>
    <t> 0.1927 </t>
  </si>
  <si>
    <t>2455478.6633 </t>
  </si>
  <si>
    <t> 09.10.2010 03:55 </t>
  </si>
  <si>
    <t>9411</t>
  </si>
  <si>
    <t> 0.1929 </t>
  </si>
  <si>
    <t> JAAVSO 39;177 </t>
  </si>
  <si>
    <t>2455514.5425 </t>
  </si>
  <si>
    <t> 14.11.2010 01:01 </t>
  </si>
  <si>
    <t>9423</t>
  </si>
  <si>
    <t> 0.1944 </t>
  </si>
  <si>
    <t> F.Agerer </t>
  </si>
  <si>
    <t>BAVM 215 </t>
  </si>
  <si>
    <t>2456133.4348 </t>
  </si>
  <si>
    <t> 24.07.2012 22:26 </t>
  </si>
  <si>
    <t>9630</t>
  </si>
  <si>
    <t> 0.1973 </t>
  </si>
  <si>
    <t>BAVM 231 </t>
  </si>
  <si>
    <t>s7</t>
  </si>
  <si>
    <t>JAVSO..43..238</t>
  </si>
  <si>
    <t>IBVS 6262</t>
  </si>
  <si>
    <t>JAVSO..48…87</t>
  </si>
  <si>
    <t>IBVS, 63, 6262</t>
  </si>
  <si>
    <t>JAVSO, 48,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</si>
</sst>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5" xfId="0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quotePrefix="1" applyBorder="1">
      <alignment vertical="top"/>
    </xf>
    <xf numFmtId="0" fontId="0" fillId="0" borderId="9" xfId="0" applyBorder="1">
      <alignment vertical="top"/>
    </xf>
    <xf numFmtId="0" fontId="7" fillId="0" borderId="0" xfId="0" applyFont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5" xfId="0" applyBorder="1" applyAlignment="1">
      <alignment horizontal="left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6" fillId="0" borderId="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9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9" fillId="0" borderId="0" xfId="0" applyFont="1">
      <alignment vertical="top"/>
    </xf>
    <xf numFmtId="0" fontId="20" fillId="0" borderId="23" xfId="0" applyFont="1" applyBorder="1" applyAlignment="1">
      <alignment horizontal="center"/>
    </xf>
    <xf numFmtId="0" fontId="5" fillId="25" borderId="0" xfId="28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4" fillId="0" borderId="0" xfId="0" applyFont="1" applyAlignme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Cas - O-C Diagr.</a:t>
            </a:r>
          </a:p>
        </c:rich>
      </c:tx>
      <c:layout>
        <c:manualLayout>
          <c:xMode val="edge"/>
          <c:yMode val="edge"/>
          <c:x val="0.37541018028484141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0502826030054"/>
          <c:y val="0.15483895356437999"/>
          <c:w val="0.81147605939105671"/>
          <c:h val="0.632259060387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  <c:pt idx="14">
                  <c:v>-5.6360000016866252E-3</c:v>
                </c:pt>
                <c:pt idx="16">
                  <c:v>6.3520000003336463E-3</c:v>
                </c:pt>
                <c:pt idx="21">
                  <c:v>-3.4559999985503964E-3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B-4D4F-B013-393E05B2F4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0.17330800000127056</c:v>
                </c:pt>
                <c:pt idx="1">
                  <c:v>-5.0000000010186341E-3</c:v>
                </c:pt>
                <c:pt idx="3">
                  <c:v>6.5000000002328306E-2</c:v>
                </c:pt>
                <c:pt idx="4">
                  <c:v>0.31185200000254554</c:v>
                </c:pt>
                <c:pt idx="5">
                  <c:v>-2.4247999997896841E-2</c:v>
                </c:pt>
                <c:pt idx="6">
                  <c:v>-4.0520000002288725E-3</c:v>
                </c:pt>
                <c:pt idx="7">
                  <c:v>5.9480000018083956E-3</c:v>
                </c:pt>
                <c:pt idx="8">
                  <c:v>9.7320000000763685E-2</c:v>
                </c:pt>
                <c:pt idx="9">
                  <c:v>-9.1999999858671799E-4</c:v>
                </c:pt>
                <c:pt idx="10">
                  <c:v>3.0424000000493834E-2</c:v>
                </c:pt>
                <c:pt idx="11">
                  <c:v>1.2600000001839362E-2</c:v>
                </c:pt>
                <c:pt idx="12">
                  <c:v>-1.8591999996715458E-2</c:v>
                </c:pt>
                <c:pt idx="13">
                  <c:v>-5.4551999997784151E-2</c:v>
                </c:pt>
                <c:pt idx="15">
                  <c:v>-4.5271999999386026E-2</c:v>
                </c:pt>
                <c:pt idx="17">
                  <c:v>-9.8239999999350403E-2</c:v>
                </c:pt>
                <c:pt idx="18">
                  <c:v>-8.8847999999416061E-2</c:v>
                </c:pt>
                <c:pt idx="19">
                  <c:v>9.6072000000276603E-2</c:v>
                </c:pt>
                <c:pt idx="20">
                  <c:v>-7.7320000054896809E-3</c:v>
                </c:pt>
                <c:pt idx="22">
                  <c:v>2.5599999935366213E-4</c:v>
                </c:pt>
                <c:pt idx="23">
                  <c:v>-2.8156000000308268E-2</c:v>
                </c:pt>
                <c:pt idx="24">
                  <c:v>-1.9160000010742806E-3</c:v>
                </c:pt>
                <c:pt idx="25">
                  <c:v>-5.0795999995898455E-2</c:v>
                </c:pt>
                <c:pt idx="26">
                  <c:v>-3.8423999998485669E-2</c:v>
                </c:pt>
                <c:pt idx="27">
                  <c:v>3.576000002794899E-3</c:v>
                </c:pt>
                <c:pt idx="28">
                  <c:v>1.6340000001946464E-2</c:v>
                </c:pt>
                <c:pt idx="29">
                  <c:v>0.12249600000359351</c:v>
                </c:pt>
                <c:pt idx="30">
                  <c:v>-1.397999999608146E-2</c:v>
                </c:pt>
                <c:pt idx="31">
                  <c:v>4.0784000004350673E-2</c:v>
                </c:pt>
                <c:pt idx="32">
                  <c:v>-2.7648000002955087E-2</c:v>
                </c:pt>
                <c:pt idx="33">
                  <c:v>-3.9795999997295439E-2</c:v>
                </c:pt>
                <c:pt idx="34">
                  <c:v>7.215999998152256E-3</c:v>
                </c:pt>
                <c:pt idx="35">
                  <c:v>3.5492000002705026E-2</c:v>
                </c:pt>
                <c:pt idx="36">
                  <c:v>4.5667999998840969E-2</c:v>
                </c:pt>
                <c:pt idx="37">
                  <c:v>9.7256000000925269E-2</c:v>
                </c:pt>
                <c:pt idx="38">
                  <c:v>0.14721599999757018</c:v>
                </c:pt>
                <c:pt idx="39">
                  <c:v>9.5072000003710855E-2</c:v>
                </c:pt>
                <c:pt idx="40">
                  <c:v>9.8267999994277488E-2</c:v>
                </c:pt>
                <c:pt idx="41">
                  <c:v>0.11946400000306312</c:v>
                </c:pt>
                <c:pt idx="42">
                  <c:v>0.13466000000335043</c:v>
                </c:pt>
                <c:pt idx="43">
                  <c:v>0.13003200000093784</c:v>
                </c:pt>
                <c:pt idx="44">
                  <c:v>0.10472799999843119</c:v>
                </c:pt>
                <c:pt idx="45">
                  <c:v>0.15921600000729086</c:v>
                </c:pt>
                <c:pt idx="46">
                  <c:v>0.2396599999992759</c:v>
                </c:pt>
                <c:pt idx="47">
                  <c:v>3.3983999994234182E-2</c:v>
                </c:pt>
                <c:pt idx="48">
                  <c:v>0.15851200000906829</c:v>
                </c:pt>
                <c:pt idx="50">
                  <c:v>0.1481599999970058</c:v>
                </c:pt>
                <c:pt idx="51">
                  <c:v>0.17209999999613501</c:v>
                </c:pt>
                <c:pt idx="53">
                  <c:v>0.15777999999409076</c:v>
                </c:pt>
                <c:pt idx="63">
                  <c:v>0.17266400020162109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B-4D4F-B013-393E05B2F4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9">
                  <c:v>0.15496800000983058</c:v>
                </c:pt>
                <c:pt idx="52">
                  <c:v>0.14472399999795016</c:v>
                </c:pt>
                <c:pt idx="60">
                  <c:v>0.17410799999925075</c:v>
                </c:pt>
                <c:pt idx="61">
                  <c:v>0.17128800000500632</c:v>
                </c:pt>
                <c:pt idx="64">
                  <c:v>0.17602400000760099</c:v>
                </c:pt>
                <c:pt idx="70">
                  <c:v>0.19440800000302261</c:v>
                </c:pt>
                <c:pt idx="71">
                  <c:v>0.19728000000759494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1B-4D4F-B013-393E05B2F4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0.14785599999595433</c:v>
                </c:pt>
                <c:pt idx="55">
                  <c:v>0.15009021945297718</c:v>
                </c:pt>
                <c:pt idx="56">
                  <c:v>0.14946400000917492</c:v>
                </c:pt>
                <c:pt idx="57">
                  <c:v>0.15816400000767317</c:v>
                </c:pt>
                <c:pt idx="58">
                  <c:v>0.16387199999735458</c:v>
                </c:pt>
                <c:pt idx="59">
                  <c:v>0.16991199999756645</c:v>
                </c:pt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  <c:pt idx="72">
                  <c:v>0.20400399999925867</c:v>
                </c:pt>
                <c:pt idx="73">
                  <c:v>0.20278000000689644</c:v>
                </c:pt>
                <c:pt idx="74">
                  <c:v>0.20548799999960465</c:v>
                </c:pt>
                <c:pt idx="75">
                  <c:v>0.20548799999960465</c:v>
                </c:pt>
                <c:pt idx="76">
                  <c:v>0.2055839999957243</c:v>
                </c:pt>
                <c:pt idx="77">
                  <c:v>0.20881199999712408</c:v>
                </c:pt>
                <c:pt idx="78">
                  <c:v>0.20881199999712408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1B-4D4F-B013-393E05B2F4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1B-4D4F-B013-393E05B2F4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1B-4D4F-B013-393E05B2F4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1B-4D4F-B013-393E05B2F4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2.0760393374854184E-2</c:v>
                </c:pt>
                <c:pt idx="1">
                  <c:v>6.6908211213287383E-2</c:v>
                </c:pt>
                <c:pt idx="2">
                  <c:v>6.6908211213287383E-2</c:v>
                </c:pt>
                <c:pt idx="3">
                  <c:v>6.6908211213287383E-2</c:v>
                </c:pt>
                <c:pt idx="4">
                  <c:v>6.8753046650656902E-2</c:v>
                </c:pt>
                <c:pt idx="5">
                  <c:v>7.2456183477493538E-2</c:v>
                </c:pt>
                <c:pt idx="6">
                  <c:v>7.2469649429591124E-2</c:v>
                </c:pt>
                <c:pt idx="7">
                  <c:v>7.2469649429591124E-2</c:v>
                </c:pt>
                <c:pt idx="8">
                  <c:v>7.2563911094274236E-2</c:v>
                </c:pt>
                <c:pt idx="9">
                  <c:v>7.3371868220129505E-2</c:v>
                </c:pt>
                <c:pt idx="10">
                  <c:v>7.4906986759254501E-2</c:v>
                </c:pt>
                <c:pt idx="11">
                  <c:v>7.4987782471840028E-2</c:v>
                </c:pt>
                <c:pt idx="12">
                  <c:v>7.7654040987162401E-2</c:v>
                </c:pt>
                <c:pt idx="13">
                  <c:v>8.4252357514980392E-2</c:v>
                </c:pt>
                <c:pt idx="14">
                  <c:v>8.5208440113909129E-2</c:v>
                </c:pt>
                <c:pt idx="15">
                  <c:v>8.6676228892546198E-2</c:v>
                </c:pt>
                <c:pt idx="16">
                  <c:v>9.0635218809236986E-2</c:v>
                </c:pt>
                <c:pt idx="17">
                  <c:v>9.4648072534318145E-2</c:v>
                </c:pt>
                <c:pt idx="18">
                  <c:v>9.4675004438513316E-2</c:v>
                </c:pt>
                <c:pt idx="19">
                  <c:v>9.4944323480465068E-2</c:v>
                </c:pt>
                <c:pt idx="20">
                  <c:v>9.4957789432562653E-2</c:v>
                </c:pt>
                <c:pt idx="21">
                  <c:v>0.1048014004158993</c:v>
                </c:pt>
                <c:pt idx="22">
                  <c:v>0.11048403220108133</c:v>
                </c:pt>
                <c:pt idx="23">
                  <c:v>0.11052443005737408</c:v>
                </c:pt>
                <c:pt idx="24">
                  <c:v>0.11981593700470963</c:v>
                </c:pt>
                <c:pt idx="25">
                  <c:v>0.13287791053936976</c:v>
                </c:pt>
                <c:pt idx="26">
                  <c:v>0.13297217220405286</c:v>
                </c:pt>
                <c:pt idx="27">
                  <c:v>0.13297217220405286</c:v>
                </c:pt>
                <c:pt idx="28">
                  <c:v>0.13309336577293115</c:v>
                </c:pt>
                <c:pt idx="29">
                  <c:v>0.1332414912460046</c:v>
                </c:pt>
                <c:pt idx="30">
                  <c:v>0.13417064194073819</c:v>
                </c:pt>
                <c:pt idx="31">
                  <c:v>0.13429183550961646</c:v>
                </c:pt>
                <c:pt idx="32">
                  <c:v>0.1377660511507941</c:v>
                </c:pt>
                <c:pt idx="33">
                  <c:v>0.13961088658816362</c:v>
                </c:pt>
                <c:pt idx="34">
                  <c:v>0.14428357196602656</c:v>
                </c:pt>
                <c:pt idx="35">
                  <c:v>0.14739420690056931</c:v>
                </c:pt>
                <c:pt idx="36">
                  <c:v>0.14747500261315485</c:v>
                </c:pt>
                <c:pt idx="37">
                  <c:v>0.14751540046944761</c:v>
                </c:pt>
                <c:pt idx="38">
                  <c:v>0.14765005999042352</c:v>
                </c:pt>
                <c:pt idx="39">
                  <c:v>0.14880813187081604</c:v>
                </c:pt>
                <c:pt idx="40">
                  <c:v>0.14882159782291365</c:v>
                </c:pt>
                <c:pt idx="41">
                  <c:v>0.14883506377501121</c:v>
                </c:pt>
                <c:pt idx="42">
                  <c:v>0.14884852972710882</c:v>
                </c:pt>
                <c:pt idx="43">
                  <c:v>0.14894279139179192</c:v>
                </c:pt>
                <c:pt idx="44">
                  <c:v>0.15400598938048493</c:v>
                </c:pt>
                <c:pt idx="45">
                  <c:v>0.15438303603921738</c:v>
                </c:pt>
                <c:pt idx="46">
                  <c:v>0.15558150577590268</c:v>
                </c:pt>
                <c:pt idx="47">
                  <c:v>0.16055044209991257</c:v>
                </c:pt>
                <c:pt idx="48">
                  <c:v>0.16079282923766913</c:v>
                </c:pt>
                <c:pt idx="49">
                  <c:v>0.16868387716685557</c:v>
                </c:pt>
                <c:pt idx="50">
                  <c:v>0.17409718991008583</c:v>
                </c:pt>
                <c:pt idx="51">
                  <c:v>0.17429917919154964</c:v>
                </c:pt>
                <c:pt idx="52">
                  <c:v>0.1752283298862832</c:v>
                </c:pt>
                <c:pt idx="53">
                  <c:v>0.17537645535935667</c:v>
                </c:pt>
                <c:pt idx="54">
                  <c:v>0.17916038789877881</c:v>
                </c:pt>
                <c:pt idx="55">
                  <c:v>0.18033192573126894</c:v>
                </c:pt>
                <c:pt idx="56">
                  <c:v>0.18048005120434241</c:v>
                </c:pt>
                <c:pt idx="57">
                  <c:v>0.18048005120434241</c:v>
                </c:pt>
                <c:pt idx="58">
                  <c:v>0.18550285133674266</c:v>
                </c:pt>
                <c:pt idx="59">
                  <c:v>0.18705143582796524</c:v>
                </c:pt>
                <c:pt idx="60">
                  <c:v>0.18706490178006283</c:v>
                </c:pt>
                <c:pt idx="61">
                  <c:v>0.18713223154055075</c:v>
                </c:pt>
                <c:pt idx="62">
                  <c:v>0.18845862782216316</c:v>
                </c:pt>
                <c:pt idx="63">
                  <c:v>0.18855962246289507</c:v>
                </c:pt>
                <c:pt idx="64">
                  <c:v>0.18869428198387095</c:v>
                </c:pt>
                <c:pt idx="65">
                  <c:v>0.19230315714602447</c:v>
                </c:pt>
                <c:pt idx="66">
                  <c:v>0.19344776307431943</c:v>
                </c:pt>
                <c:pt idx="67">
                  <c:v>0.19346122902641702</c:v>
                </c:pt>
                <c:pt idx="68">
                  <c:v>0.19350162688270978</c:v>
                </c:pt>
                <c:pt idx="69">
                  <c:v>0.19363628640368566</c:v>
                </c:pt>
                <c:pt idx="70">
                  <c:v>0.19379787782885671</c:v>
                </c:pt>
                <c:pt idx="71">
                  <c:v>0.19658532991305736</c:v>
                </c:pt>
                <c:pt idx="72">
                  <c:v>0.20155426623706724</c:v>
                </c:pt>
                <c:pt idx="73">
                  <c:v>0.20197171075209247</c:v>
                </c:pt>
                <c:pt idx="74">
                  <c:v>0.206657862082053</c:v>
                </c:pt>
                <c:pt idx="75">
                  <c:v>0.206657862082053</c:v>
                </c:pt>
                <c:pt idx="76">
                  <c:v>0.20667132803415059</c:v>
                </c:pt>
                <c:pt idx="77">
                  <c:v>0.20826031038166595</c:v>
                </c:pt>
                <c:pt idx="78">
                  <c:v>0.20826031038166595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1B-4D4F-B013-393E05B2F4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2">
                  <c:v>-0.47787599999719532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1B-4D4F-B013-393E05B2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208"/>
        <c:axId val="1"/>
      </c:scatterChart>
      <c:valAx>
        <c:axId val="59676720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1181962910378"/>
              <c:y val="0.85161425789518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37419422572178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37722128996171"/>
          <c:y val="0.91613038692744042"/>
          <c:w val="0.77213183597951895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Cas - O-C Diagr.</a:t>
            </a:r>
          </a:p>
        </c:rich>
      </c:tx>
      <c:layout>
        <c:manualLayout>
          <c:xMode val="edge"/>
          <c:yMode val="edge"/>
          <c:x val="0.37643207855973815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0621931260229"/>
          <c:y val="0.15434083601286175"/>
          <c:w val="0.81505728314238957"/>
          <c:h val="0.63344051446945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  <c:pt idx="14">
                  <c:v>-5.6360000016866252E-3</c:v>
                </c:pt>
                <c:pt idx="16">
                  <c:v>6.3520000003336463E-3</c:v>
                </c:pt>
                <c:pt idx="21">
                  <c:v>-3.4559999985503964E-3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2-44E6-9F37-97EF4CB077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  <c:pt idx="70">
                    <c:v>3.0000000000000001E-3</c:v>
                  </c:pt>
                  <c:pt idx="71">
                    <c:v>5.7000000000000002E-3</c:v>
                  </c:pt>
                  <c:pt idx="72">
                    <c:v>2.0000000000000001E-4</c:v>
                  </c:pt>
                  <c:pt idx="73">
                    <c:v>3.0000000000000001E-3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0.17330800000127056</c:v>
                </c:pt>
                <c:pt idx="1">
                  <c:v>-5.0000000010186341E-3</c:v>
                </c:pt>
                <c:pt idx="3">
                  <c:v>6.5000000002328306E-2</c:v>
                </c:pt>
                <c:pt idx="4">
                  <c:v>0.31185200000254554</c:v>
                </c:pt>
                <c:pt idx="5">
                  <c:v>-2.4247999997896841E-2</c:v>
                </c:pt>
                <c:pt idx="6">
                  <c:v>-4.0520000002288725E-3</c:v>
                </c:pt>
                <c:pt idx="7">
                  <c:v>5.9480000018083956E-3</c:v>
                </c:pt>
                <c:pt idx="8">
                  <c:v>9.7320000000763685E-2</c:v>
                </c:pt>
                <c:pt idx="9">
                  <c:v>-9.1999999858671799E-4</c:v>
                </c:pt>
                <c:pt idx="10">
                  <c:v>3.0424000000493834E-2</c:v>
                </c:pt>
                <c:pt idx="11">
                  <c:v>1.2600000001839362E-2</c:v>
                </c:pt>
                <c:pt idx="12">
                  <c:v>-1.8591999996715458E-2</c:v>
                </c:pt>
                <c:pt idx="13">
                  <c:v>-5.4551999997784151E-2</c:v>
                </c:pt>
                <c:pt idx="15">
                  <c:v>-4.5271999999386026E-2</c:v>
                </c:pt>
                <c:pt idx="17">
                  <c:v>-9.8239999999350403E-2</c:v>
                </c:pt>
                <c:pt idx="18">
                  <c:v>-8.8847999999416061E-2</c:v>
                </c:pt>
                <c:pt idx="19">
                  <c:v>9.6072000000276603E-2</c:v>
                </c:pt>
                <c:pt idx="20">
                  <c:v>-7.7320000054896809E-3</c:v>
                </c:pt>
                <c:pt idx="22">
                  <c:v>2.5599999935366213E-4</c:v>
                </c:pt>
                <c:pt idx="23">
                  <c:v>-2.8156000000308268E-2</c:v>
                </c:pt>
                <c:pt idx="24">
                  <c:v>-1.9160000010742806E-3</c:v>
                </c:pt>
                <c:pt idx="25">
                  <c:v>-5.0795999995898455E-2</c:v>
                </c:pt>
                <c:pt idx="26">
                  <c:v>-3.8423999998485669E-2</c:v>
                </c:pt>
                <c:pt idx="27">
                  <c:v>3.576000002794899E-3</c:v>
                </c:pt>
                <c:pt idx="28">
                  <c:v>1.6340000001946464E-2</c:v>
                </c:pt>
                <c:pt idx="29">
                  <c:v>0.12249600000359351</c:v>
                </c:pt>
                <c:pt idx="30">
                  <c:v>-1.397999999608146E-2</c:v>
                </c:pt>
                <c:pt idx="31">
                  <c:v>4.0784000004350673E-2</c:v>
                </c:pt>
                <c:pt idx="32">
                  <c:v>-2.7648000002955087E-2</c:v>
                </c:pt>
                <c:pt idx="33">
                  <c:v>-3.9795999997295439E-2</c:v>
                </c:pt>
                <c:pt idx="34">
                  <c:v>7.215999998152256E-3</c:v>
                </c:pt>
                <c:pt idx="35">
                  <c:v>3.5492000002705026E-2</c:v>
                </c:pt>
                <c:pt idx="36">
                  <c:v>4.5667999998840969E-2</c:v>
                </c:pt>
                <c:pt idx="37">
                  <c:v>9.7256000000925269E-2</c:v>
                </c:pt>
                <c:pt idx="38">
                  <c:v>0.14721599999757018</c:v>
                </c:pt>
                <c:pt idx="39">
                  <c:v>9.5072000003710855E-2</c:v>
                </c:pt>
                <c:pt idx="40">
                  <c:v>9.8267999994277488E-2</c:v>
                </c:pt>
                <c:pt idx="41">
                  <c:v>0.11946400000306312</c:v>
                </c:pt>
                <c:pt idx="42">
                  <c:v>0.13466000000335043</c:v>
                </c:pt>
                <c:pt idx="43">
                  <c:v>0.13003200000093784</c:v>
                </c:pt>
                <c:pt idx="44">
                  <c:v>0.10472799999843119</c:v>
                </c:pt>
                <c:pt idx="45">
                  <c:v>0.15921600000729086</c:v>
                </c:pt>
                <c:pt idx="46">
                  <c:v>0.2396599999992759</c:v>
                </c:pt>
                <c:pt idx="47">
                  <c:v>3.3983999994234182E-2</c:v>
                </c:pt>
                <c:pt idx="48">
                  <c:v>0.15851200000906829</c:v>
                </c:pt>
                <c:pt idx="50">
                  <c:v>0.1481599999970058</c:v>
                </c:pt>
                <c:pt idx="51">
                  <c:v>0.17209999999613501</c:v>
                </c:pt>
                <c:pt idx="53">
                  <c:v>0.15777999999409076</c:v>
                </c:pt>
                <c:pt idx="63">
                  <c:v>0.17266400020162109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2-44E6-9F37-97EF4CB077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9">
                  <c:v>0.15496800000983058</c:v>
                </c:pt>
                <c:pt idx="52">
                  <c:v>0.14472399999795016</c:v>
                </c:pt>
                <c:pt idx="60">
                  <c:v>0.17410799999925075</c:v>
                </c:pt>
                <c:pt idx="61">
                  <c:v>0.17128800000500632</c:v>
                </c:pt>
                <c:pt idx="64">
                  <c:v>0.17602400000760099</c:v>
                </c:pt>
                <c:pt idx="70">
                  <c:v>0.19440800000302261</c:v>
                </c:pt>
                <c:pt idx="71">
                  <c:v>0.19728000000759494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2-44E6-9F37-97EF4CB077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0.14785599999595433</c:v>
                </c:pt>
                <c:pt idx="55">
                  <c:v>0.15009021945297718</c:v>
                </c:pt>
                <c:pt idx="56">
                  <c:v>0.14946400000917492</c:v>
                </c:pt>
                <c:pt idx="57">
                  <c:v>0.15816400000767317</c:v>
                </c:pt>
                <c:pt idx="58">
                  <c:v>0.16387199999735458</c:v>
                </c:pt>
                <c:pt idx="59">
                  <c:v>0.16991199999756645</c:v>
                </c:pt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  <c:pt idx="72">
                  <c:v>0.20400399999925867</c:v>
                </c:pt>
                <c:pt idx="73">
                  <c:v>0.20278000000689644</c:v>
                </c:pt>
                <c:pt idx="74">
                  <c:v>0.20548799999960465</c:v>
                </c:pt>
                <c:pt idx="75">
                  <c:v>0.20548799999960465</c:v>
                </c:pt>
                <c:pt idx="76">
                  <c:v>0.2055839999957243</c:v>
                </c:pt>
                <c:pt idx="77">
                  <c:v>0.20881199999712408</c:v>
                </c:pt>
                <c:pt idx="78">
                  <c:v>0.20881199999712408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2-44E6-9F37-97EF4CB077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32-44E6-9F37-97EF4CB077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2-44E6-9F37-97EF4CB077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1.8E-3</c:v>
                  </c:pt>
                  <c:pt idx="61">
                    <c:v>1.2999999999999999E-3</c:v>
                  </c:pt>
                  <c:pt idx="62">
                    <c:v>0</c:v>
                  </c:pt>
                  <c:pt idx="63">
                    <c:v>8.0000000000000002E-3</c:v>
                  </c:pt>
                  <c:pt idx="64">
                    <c:v>2.9999999999999997E-4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65">
                  <c:v>0.18825199999992037</c:v>
                </c:pt>
                <c:pt idx="66">
                  <c:v>0.19351199999800883</c:v>
                </c:pt>
                <c:pt idx="67">
                  <c:v>0.19280799999978626</c:v>
                </c:pt>
                <c:pt idx="68">
                  <c:v>0.19269599999825004</c:v>
                </c:pt>
                <c:pt idx="69">
                  <c:v>0.19285600000148406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32-44E6-9F37-97EF4CB077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2.0760393374854184E-2</c:v>
                </c:pt>
                <c:pt idx="1">
                  <c:v>6.6908211213287383E-2</c:v>
                </c:pt>
                <c:pt idx="2">
                  <c:v>6.6908211213287383E-2</c:v>
                </c:pt>
                <c:pt idx="3">
                  <c:v>6.6908211213287383E-2</c:v>
                </c:pt>
                <c:pt idx="4">
                  <c:v>6.8753046650656902E-2</c:v>
                </c:pt>
                <c:pt idx="5">
                  <c:v>7.2456183477493538E-2</c:v>
                </c:pt>
                <c:pt idx="6">
                  <c:v>7.2469649429591124E-2</c:v>
                </c:pt>
                <c:pt idx="7">
                  <c:v>7.2469649429591124E-2</c:v>
                </c:pt>
                <c:pt idx="8">
                  <c:v>7.2563911094274236E-2</c:v>
                </c:pt>
                <c:pt idx="9">
                  <c:v>7.3371868220129505E-2</c:v>
                </c:pt>
                <c:pt idx="10">
                  <c:v>7.4906986759254501E-2</c:v>
                </c:pt>
                <c:pt idx="11">
                  <c:v>7.4987782471840028E-2</c:v>
                </c:pt>
                <c:pt idx="12">
                  <c:v>7.7654040987162401E-2</c:v>
                </c:pt>
                <c:pt idx="13">
                  <c:v>8.4252357514980392E-2</c:v>
                </c:pt>
                <c:pt idx="14">
                  <c:v>8.5208440113909129E-2</c:v>
                </c:pt>
                <c:pt idx="15">
                  <c:v>8.6676228892546198E-2</c:v>
                </c:pt>
                <c:pt idx="16">
                  <c:v>9.0635218809236986E-2</c:v>
                </c:pt>
                <c:pt idx="17">
                  <c:v>9.4648072534318145E-2</c:v>
                </c:pt>
                <c:pt idx="18">
                  <c:v>9.4675004438513316E-2</c:v>
                </c:pt>
                <c:pt idx="19">
                  <c:v>9.4944323480465068E-2</c:v>
                </c:pt>
                <c:pt idx="20">
                  <c:v>9.4957789432562653E-2</c:v>
                </c:pt>
                <c:pt idx="21">
                  <c:v>0.1048014004158993</c:v>
                </c:pt>
                <c:pt idx="22">
                  <c:v>0.11048403220108133</c:v>
                </c:pt>
                <c:pt idx="23">
                  <c:v>0.11052443005737408</c:v>
                </c:pt>
                <c:pt idx="24">
                  <c:v>0.11981593700470963</c:v>
                </c:pt>
                <c:pt idx="25">
                  <c:v>0.13287791053936976</c:v>
                </c:pt>
                <c:pt idx="26">
                  <c:v>0.13297217220405286</c:v>
                </c:pt>
                <c:pt idx="27">
                  <c:v>0.13297217220405286</c:v>
                </c:pt>
                <c:pt idx="28">
                  <c:v>0.13309336577293115</c:v>
                </c:pt>
                <c:pt idx="29">
                  <c:v>0.1332414912460046</c:v>
                </c:pt>
                <c:pt idx="30">
                  <c:v>0.13417064194073819</c:v>
                </c:pt>
                <c:pt idx="31">
                  <c:v>0.13429183550961646</c:v>
                </c:pt>
                <c:pt idx="32">
                  <c:v>0.1377660511507941</c:v>
                </c:pt>
                <c:pt idx="33">
                  <c:v>0.13961088658816362</c:v>
                </c:pt>
                <c:pt idx="34">
                  <c:v>0.14428357196602656</c:v>
                </c:pt>
                <c:pt idx="35">
                  <c:v>0.14739420690056931</c:v>
                </c:pt>
                <c:pt idx="36">
                  <c:v>0.14747500261315485</c:v>
                </c:pt>
                <c:pt idx="37">
                  <c:v>0.14751540046944761</c:v>
                </c:pt>
                <c:pt idx="38">
                  <c:v>0.14765005999042352</c:v>
                </c:pt>
                <c:pt idx="39">
                  <c:v>0.14880813187081604</c:v>
                </c:pt>
                <c:pt idx="40">
                  <c:v>0.14882159782291365</c:v>
                </c:pt>
                <c:pt idx="41">
                  <c:v>0.14883506377501121</c:v>
                </c:pt>
                <c:pt idx="42">
                  <c:v>0.14884852972710882</c:v>
                </c:pt>
                <c:pt idx="43">
                  <c:v>0.14894279139179192</c:v>
                </c:pt>
                <c:pt idx="44">
                  <c:v>0.15400598938048493</c:v>
                </c:pt>
                <c:pt idx="45">
                  <c:v>0.15438303603921738</c:v>
                </c:pt>
                <c:pt idx="46">
                  <c:v>0.15558150577590268</c:v>
                </c:pt>
                <c:pt idx="47">
                  <c:v>0.16055044209991257</c:v>
                </c:pt>
                <c:pt idx="48">
                  <c:v>0.16079282923766913</c:v>
                </c:pt>
                <c:pt idx="49">
                  <c:v>0.16868387716685557</c:v>
                </c:pt>
                <c:pt idx="50">
                  <c:v>0.17409718991008583</c:v>
                </c:pt>
                <c:pt idx="51">
                  <c:v>0.17429917919154964</c:v>
                </c:pt>
                <c:pt idx="52">
                  <c:v>0.1752283298862832</c:v>
                </c:pt>
                <c:pt idx="53">
                  <c:v>0.17537645535935667</c:v>
                </c:pt>
                <c:pt idx="54">
                  <c:v>0.17916038789877881</c:v>
                </c:pt>
                <c:pt idx="55">
                  <c:v>0.18033192573126894</c:v>
                </c:pt>
                <c:pt idx="56">
                  <c:v>0.18048005120434241</c:v>
                </c:pt>
                <c:pt idx="57">
                  <c:v>0.18048005120434241</c:v>
                </c:pt>
                <c:pt idx="58">
                  <c:v>0.18550285133674266</c:v>
                </c:pt>
                <c:pt idx="59">
                  <c:v>0.18705143582796524</c:v>
                </c:pt>
                <c:pt idx="60">
                  <c:v>0.18706490178006283</c:v>
                </c:pt>
                <c:pt idx="61">
                  <c:v>0.18713223154055075</c:v>
                </c:pt>
                <c:pt idx="62">
                  <c:v>0.18845862782216316</c:v>
                </c:pt>
                <c:pt idx="63">
                  <c:v>0.18855962246289507</c:v>
                </c:pt>
                <c:pt idx="64">
                  <c:v>0.18869428198387095</c:v>
                </c:pt>
                <c:pt idx="65">
                  <c:v>0.19230315714602447</c:v>
                </c:pt>
                <c:pt idx="66">
                  <c:v>0.19344776307431943</c:v>
                </c:pt>
                <c:pt idx="67">
                  <c:v>0.19346122902641702</c:v>
                </c:pt>
                <c:pt idx="68">
                  <c:v>0.19350162688270978</c:v>
                </c:pt>
                <c:pt idx="69">
                  <c:v>0.19363628640368566</c:v>
                </c:pt>
                <c:pt idx="70">
                  <c:v>0.19379787782885671</c:v>
                </c:pt>
                <c:pt idx="71">
                  <c:v>0.19658532991305736</c:v>
                </c:pt>
                <c:pt idx="72">
                  <c:v>0.20155426623706724</c:v>
                </c:pt>
                <c:pt idx="73">
                  <c:v>0.20197171075209247</c:v>
                </c:pt>
                <c:pt idx="74">
                  <c:v>0.206657862082053</c:v>
                </c:pt>
                <c:pt idx="75">
                  <c:v>0.206657862082053</c:v>
                </c:pt>
                <c:pt idx="76">
                  <c:v>0.20667132803415059</c:v>
                </c:pt>
                <c:pt idx="77">
                  <c:v>0.20826031038166595</c:v>
                </c:pt>
                <c:pt idx="78">
                  <c:v>0.20826031038166595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32-44E6-9F37-97EF4CB077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137</c:v>
                </c:pt>
                <c:pt idx="5">
                  <c:v>412</c:v>
                </c:pt>
                <c:pt idx="6">
                  <c:v>413</c:v>
                </c:pt>
                <c:pt idx="7">
                  <c:v>413</c:v>
                </c:pt>
                <c:pt idx="8">
                  <c:v>420</c:v>
                </c:pt>
                <c:pt idx="9">
                  <c:v>480</c:v>
                </c:pt>
                <c:pt idx="10">
                  <c:v>594</c:v>
                </c:pt>
                <c:pt idx="11">
                  <c:v>600</c:v>
                </c:pt>
                <c:pt idx="12">
                  <c:v>798</c:v>
                </c:pt>
                <c:pt idx="13">
                  <c:v>1288</c:v>
                </c:pt>
                <c:pt idx="14">
                  <c:v>1359</c:v>
                </c:pt>
                <c:pt idx="15">
                  <c:v>1468</c:v>
                </c:pt>
                <c:pt idx="16">
                  <c:v>1762</c:v>
                </c:pt>
                <c:pt idx="17">
                  <c:v>2060</c:v>
                </c:pt>
                <c:pt idx="18">
                  <c:v>2062</c:v>
                </c:pt>
                <c:pt idx="19">
                  <c:v>2082</c:v>
                </c:pt>
                <c:pt idx="20">
                  <c:v>2083</c:v>
                </c:pt>
                <c:pt idx="21">
                  <c:v>2814</c:v>
                </c:pt>
                <c:pt idx="22">
                  <c:v>3236</c:v>
                </c:pt>
                <c:pt idx="23">
                  <c:v>3239</c:v>
                </c:pt>
                <c:pt idx="24">
                  <c:v>3929</c:v>
                </c:pt>
                <c:pt idx="25">
                  <c:v>4899</c:v>
                </c:pt>
                <c:pt idx="26">
                  <c:v>4906</c:v>
                </c:pt>
                <c:pt idx="27">
                  <c:v>4906</c:v>
                </c:pt>
                <c:pt idx="28">
                  <c:v>4915</c:v>
                </c:pt>
                <c:pt idx="29">
                  <c:v>4926</c:v>
                </c:pt>
                <c:pt idx="30">
                  <c:v>4995</c:v>
                </c:pt>
                <c:pt idx="31">
                  <c:v>5004</c:v>
                </c:pt>
                <c:pt idx="32">
                  <c:v>5262</c:v>
                </c:pt>
                <c:pt idx="33">
                  <c:v>5399</c:v>
                </c:pt>
                <c:pt idx="34">
                  <c:v>5746</c:v>
                </c:pt>
                <c:pt idx="35">
                  <c:v>5977</c:v>
                </c:pt>
                <c:pt idx="36">
                  <c:v>5983</c:v>
                </c:pt>
                <c:pt idx="37">
                  <c:v>5986</c:v>
                </c:pt>
                <c:pt idx="38">
                  <c:v>5996</c:v>
                </c:pt>
                <c:pt idx="39">
                  <c:v>6082</c:v>
                </c:pt>
                <c:pt idx="40">
                  <c:v>6083</c:v>
                </c:pt>
                <c:pt idx="41">
                  <c:v>6084</c:v>
                </c:pt>
                <c:pt idx="42">
                  <c:v>6085</c:v>
                </c:pt>
                <c:pt idx="43">
                  <c:v>6092</c:v>
                </c:pt>
                <c:pt idx="44">
                  <c:v>6468</c:v>
                </c:pt>
                <c:pt idx="45">
                  <c:v>6496</c:v>
                </c:pt>
                <c:pt idx="46">
                  <c:v>6585</c:v>
                </c:pt>
                <c:pt idx="47">
                  <c:v>6954</c:v>
                </c:pt>
                <c:pt idx="48">
                  <c:v>6972</c:v>
                </c:pt>
                <c:pt idx="49">
                  <c:v>7558</c:v>
                </c:pt>
                <c:pt idx="50">
                  <c:v>7960</c:v>
                </c:pt>
                <c:pt idx="51">
                  <c:v>7975</c:v>
                </c:pt>
                <c:pt idx="52">
                  <c:v>8044</c:v>
                </c:pt>
                <c:pt idx="53">
                  <c:v>8055</c:v>
                </c:pt>
                <c:pt idx="54">
                  <c:v>8336</c:v>
                </c:pt>
                <c:pt idx="55">
                  <c:v>8423</c:v>
                </c:pt>
                <c:pt idx="56">
                  <c:v>8434</c:v>
                </c:pt>
                <c:pt idx="57">
                  <c:v>8434</c:v>
                </c:pt>
                <c:pt idx="58">
                  <c:v>8807</c:v>
                </c:pt>
                <c:pt idx="59">
                  <c:v>8922</c:v>
                </c:pt>
                <c:pt idx="60">
                  <c:v>8923</c:v>
                </c:pt>
                <c:pt idx="61">
                  <c:v>8928</c:v>
                </c:pt>
                <c:pt idx="62">
                  <c:v>9026.5</c:v>
                </c:pt>
                <c:pt idx="63">
                  <c:v>9034</c:v>
                </c:pt>
                <c:pt idx="64">
                  <c:v>9044</c:v>
                </c:pt>
                <c:pt idx="65">
                  <c:v>9312</c:v>
                </c:pt>
                <c:pt idx="66">
                  <c:v>9397</c:v>
                </c:pt>
                <c:pt idx="67">
                  <c:v>9398</c:v>
                </c:pt>
                <c:pt idx="68">
                  <c:v>9401</c:v>
                </c:pt>
                <c:pt idx="69">
                  <c:v>9411</c:v>
                </c:pt>
                <c:pt idx="70">
                  <c:v>9423</c:v>
                </c:pt>
                <c:pt idx="71">
                  <c:v>9630</c:v>
                </c:pt>
                <c:pt idx="72">
                  <c:v>9999</c:v>
                </c:pt>
                <c:pt idx="73">
                  <c:v>10030</c:v>
                </c:pt>
                <c:pt idx="74">
                  <c:v>10378</c:v>
                </c:pt>
                <c:pt idx="75">
                  <c:v>10378</c:v>
                </c:pt>
                <c:pt idx="76">
                  <c:v>10379</c:v>
                </c:pt>
                <c:pt idx="77">
                  <c:v>10497</c:v>
                </c:pt>
                <c:pt idx="78">
                  <c:v>10497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62">
                  <c:v>-0.47787599999719532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32-44E6-9F37-97EF4CB0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767536"/>
        <c:axId val="1"/>
      </c:scatterChart>
      <c:valAx>
        <c:axId val="59676753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5209003215434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3729903536977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6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1947626841244"/>
          <c:y val="0.91639871382636651"/>
          <c:w val="0.77086743044189854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16</xdr:col>
      <xdr:colOff>447675</xdr:colOff>
      <xdr:row>17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F5228B0-B125-8C5D-32F1-3954027F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25</xdr:col>
      <xdr:colOff>514350</xdr:colOff>
      <xdr:row>17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B80F3133-A77F-111B-EB45-B6BFA32E5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3.pdf" TargetMode="External"/><Relationship Id="rId3" Type="http://schemas.openxmlformats.org/officeDocument/2006/relationships/hyperlink" Target="http://www.bav-astro.de/sfs/BAVM_link.php?BAVMnr=90" TargetMode="External"/><Relationship Id="rId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371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54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2">
      <c r="A1" s="11" t="s">
        <v>35</v>
      </c>
      <c r="B1" s="12"/>
      <c r="C1" s="12"/>
      <c r="D1" s="12"/>
      <c r="E1" s="12"/>
    </row>
    <row r="2" spans="1:6" x14ac:dyDescent="0.2">
      <c r="A2" s="10" t="s">
        <v>36</v>
      </c>
      <c r="B2" s="13" t="s">
        <v>37</v>
      </c>
      <c r="C2" s="12"/>
      <c r="D2" s="12"/>
      <c r="E2" s="12"/>
    </row>
    <row r="3" spans="1:6" ht="13.5" thickBot="1" x14ac:dyDescent="0.25">
      <c r="A3" s="10"/>
      <c r="B3" s="12"/>
      <c r="C3" s="14" t="s">
        <v>38</v>
      </c>
      <c r="D3" s="15"/>
      <c r="E3" s="12"/>
    </row>
    <row r="4" spans="1:6" ht="13.5" thickBot="1" x14ac:dyDescent="0.25">
      <c r="A4" s="16" t="s">
        <v>2</v>
      </c>
      <c r="B4" s="17"/>
      <c r="C4" s="18">
        <v>27341.424999999999</v>
      </c>
      <c r="D4" s="19">
        <v>2.9898039999999999</v>
      </c>
      <c r="E4" s="20"/>
    </row>
    <row r="5" spans="1:6" x14ac:dyDescent="0.2">
      <c r="A5" s="22" t="s">
        <v>33</v>
      </c>
      <c r="B5" s="10"/>
      <c r="C5" s="23">
        <v>-9.5</v>
      </c>
      <c r="D5" s="10" t="s">
        <v>34</v>
      </c>
    </row>
    <row r="6" spans="1:6" x14ac:dyDescent="0.2">
      <c r="A6" s="4" t="s">
        <v>3</v>
      </c>
    </row>
    <row r="7" spans="1:6" x14ac:dyDescent="0.2">
      <c r="A7" t="s">
        <v>4</v>
      </c>
      <c r="C7">
        <f>C4</f>
        <v>27341.424999999999</v>
      </c>
    </row>
    <row r="8" spans="1:6" x14ac:dyDescent="0.2">
      <c r="A8" t="s">
        <v>5</v>
      </c>
      <c r="C8">
        <f>D4</f>
        <v>2.9898039999999999</v>
      </c>
    </row>
    <row r="9" spans="1:6" x14ac:dyDescent="0.2">
      <c r="A9" s="34" t="s">
        <v>44</v>
      </c>
      <c r="B9" s="35">
        <v>88</v>
      </c>
      <c r="C9" s="24" t="str">
        <f>"F"&amp;B9</f>
        <v>F88</v>
      </c>
      <c r="D9" s="25" t="str">
        <f>"G"&amp;B9</f>
        <v>G88</v>
      </c>
    </row>
    <row r="10" spans="1:6" ht="13.5" thickBot="1" x14ac:dyDescent="0.25">
      <c r="A10" s="10"/>
      <c r="B10" s="10"/>
      <c r="C10" s="3" t="s">
        <v>21</v>
      </c>
      <c r="D10" s="3" t="s">
        <v>22</v>
      </c>
      <c r="E10" s="10"/>
    </row>
    <row r="11" spans="1:6" x14ac:dyDescent="0.2">
      <c r="A11" s="10" t="s">
        <v>17</v>
      </c>
      <c r="B11" s="10"/>
      <c r="C11" s="7">
        <f ca="1">INTERCEPT(INDIRECT($D$9):G989,INDIRECT($C$9):F989)</f>
        <v>6.6908211213287383E-2</v>
      </c>
      <c r="D11" s="2"/>
      <c r="E11" s="10"/>
    </row>
    <row r="12" spans="1:6" x14ac:dyDescent="0.2">
      <c r="A12" s="10" t="s">
        <v>18</v>
      </c>
      <c r="B12" s="10"/>
      <c r="C12" s="7">
        <f ca="1">SLOPE(INDIRECT($D$9):G989,INDIRECT($C$9):F989)</f>
        <v>1.3465952097587745E-5</v>
      </c>
      <c r="D12" s="2"/>
      <c r="E12" s="10"/>
    </row>
    <row r="13" spans="1:6" x14ac:dyDescent="0.2">
      <c r="A13" s="10" t="s">
        <v>20</v>
      </c>
      <c r="B13" s="10"/>
      <c r="C13" s="2" t="s">
        <v>15</v>
      </c>
    </row>
    <row r="14" spans="1:6" x14ac:dyDescent="0.2">
      <c r="A14" s="10"/>
      <c r="B14" s="10"/>
      <c r="C14" s="10"/>
    </row>
    <row r="15" spans="1:6" x14ac:dyDescent="0.2">
      <c r="A15" s="26" t="s">
        <v>19</v>
      </c>
      <c r="B15" s="10"/>
      <c r="C15" s="27">
        <f ca="1">(C7+C11)+(C8+C12)*INT(MAX(F21:F3530))</f>
        <v>58725.605848310384</v>
      </c>
      <c r="E15" s="28" t="s">
        <v>48</v>
      </c>
      <c r="F15" s="23">
        <v>1</v>
      </c>
    </row>
    <row r="16" spans="1:6" x14ac:dyDescent="0.2">
      <c r="A16" s="16" t="s">
        <v>6</v>
      </c>
      <c r="B16" s="10"/>
      <c r="C16" s="30">
        <f ca="1">+C8+C12</f>
        <v>2.9898174659520973</v>
      </c>
      <c r="E16" s="28" t="s">
        <v>30</v>
      </c>
      <c r="F16" s="29">
        <f ca="1">NOW()+15018.5+$C$5/24</f>
        <v>59970.80223587963</v>
      </c>
    </row>
    <row r="17" spans="1:21" ht="13.5" thickBot="1" x14ac:dyDescent="0.25">
      <c r="A17" s="28" t="s">
        <v>29</v>
      </c>
      <c r="B17" s="10"/>
      <c r="C17" s="10">
        <f>COUNT(C21:C2188)</f>
        <v>79</v>
      </c>
      <c r="E17" s="28" t="s">
        <v>49</v>
      </c>
      <c r="F17" s="29">
        <f ca="1">ROUND(2*(F16-$C$7)/$C$8,0)/2+F15</f>
        <v>10914.5</v>
      </c>
    </row>
    <row r="18" spans="1:21" ht="14.25" thickTop="1" thickBot="1" x14ac:dyDescent="0.25">
      <c r="A18" s="16" t="s">
        <v>7</v>
      </c>
      <c r="B18" s="10"/>
      <c r="C18" s="32">
        <f ca="1">+C15</f>
        <v>58725.605848310384</v>
      </c>
      <c r="D18" s="33">
        <f ca="1">+C16</f>
        <v>2.9898174659520973</v>
      </c>
      <c r="E18" s="28" t="s">
        <v>32</v>
      </c>
      <c r="F18" s="25">
        <f ca="1">ROUND(2*(F16-$C$15)/$C$16,0)/2+F15</f>
        <v>417.5</v>
      </c>
    </row>
    <row r="19" spans="1:21" ht="13.5" thickTop="1" x14ac:dyDescent="0.2">
      <c r="E19" s="28" t="s">
        <v>31</v>
      </c>
      <c r="F19" s="31">
        <f ca="1">+$C$15+$C$16*F18-15018.5-$C$5/24</f>
        <v>44955.750473678723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64</v>
      </c>
      <c r="I20" s="6" t="s">
        <v>67</v>
      </c>
      <c r="J20" s="6" t="s">
        <v>61</v>
      </c>
      <c r="K20" s="6" t="s">
        <v>59</v>
      </c>
      <c r="L20" s="6" t="s">
        <v>25</v>
      </c>
      <c r="M20" s="6" t="s">
        <v>43</v>
      </c>
      <c r="N20" s="6" t="s">
        <v>330</v>
      </c>
      <c r="O20" s="6" t="s">
        <v>24</v>
      </c>
      <c r="P20" s="5" t="s">
        <v>23</v>
      </c>
      <c r="Q20" s="3" t="s">
        <v>16</v>
      </c>
      <c r="R20" s="3"/>
      <c r="S20" s="3"/>
      <c r="T20" s="3"/>
      <c r="U20" s="41" t="s">
        <v>54</v>
      </c>
    </row>
    <row r="21" spans="1:21" x14ac:dyDescent="0.2">
      <c r="A21" s="66" t="s">
        <v>75</v>
      </c>
      <c r="B21" s="68" t="s">
        <v>26</v>
      </c>
      <c r="C21" s="66">
        <v>17095.54</v>
      </c>
      <c r="D21" s="66" t="s">
        <v>67</v>
      </c>
      <c r="E21" s="40">
        <f t="shared" ref="E21:E52" si="0">+(C21-C$7)/C$8</f>
        <v>-3426.942033658393</v>
      </c>
      <c r="F21">
        <f t="shared" ref="F21:F52" si="1">ROUND(2*E21,0)/2</f>
        <v>-3427</v>
      </c>
      <c r="G21">
        <f t="shared" ref="G21:G52" si="2">+C21-(C$7+F21*C$8)</f>
        <v>0.17330800000127056</v>
      </c>
      <c r="I21">
        <f>+G21</f>
        <v>0.17330800000127056</v>
      </c>
      <c r="O21">
        <f t="shared" ref="O21:O52" ca="1" si="3">+C$11+C$12*F21</f>
        <v>2.0760393374854184E-2</v>
      </c>
      <c r="Q21" s="1">
        <f t="shared" ref="Q21:Q52" si="4">+C21-15018.5</f>
        <v>2077.0400000000009</v>
      </c>
      <c r="R21" s="1"/>
      <c r="S21" s="1"/>
      <c r="T21" s="1"/>
    </row>
    <row r="22" spans="1:21" x14ac:dyDescent="0.2">
      <c r="A22" s="65" t="s">
        <v>75</v>
      </c>
      <c r="B22" s="70" t="s">
        <v>26</v>
      </c>
      <c r="C22" s="65">
        <v>27341.42</v>
      </c>
      <c r="D22" s="65" t="s">
        <v>67</v>
      </c>
      <c r="E22" s="40">
        <f t="shared" si="0"/>
        <v>-1.6723504286630944E-3</v>
      </c>
      <c r="F22">
        <f t="shared" si="1"/>
        <v>0</v>
      </c>
      <c r="G22">
        <f t="shared" si="2"/>
        <v>-5.0000000010186341E-3</v>
      </c>
      <c r="I22">
        <f>+G22</f>
        <v>-5.0000000010186341E-3</v>
      </c>
      <c r="O22">
        <f t="shared" ca="1" si="3"/>
        <v>6.6908211213287383E-2</v>
      </c>
      <c r="Q22" s="1">
        <f t="shared" si="4"/>
        <v>12322.919999999998</v>
      </c>
      <c r="R22" s="1"/>
      <c r="S22" s="1"/>
      <c r="T22" s="1"/>
    </row>
    <row r="23" spans="1:21" x14ac:dyDescent="0.2">
      <c r="A23" s="12" t="s">
        <v>39</v>
      </c>
      <c r="B23" s="12"/>
      <c r="C23" s="21">
        <v>27341.424999999999</v>
      </c>
      <c r="D23" s="21"/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6.6908211213287383E-2</v>
      </c>
      <c r="Q23" s="1">
        <f t="shared" si="4"/>
        <v>12322.924999999999</v>
      </c>
      <c r="R23" s="1"/>
      <c r="S23" s="1"/>
      <c r="T23" s="1"/>
    </row>
    <row r="24" spans="1:21" x14ac:dyDescent="0.2">
      <c r="A24" s="65" t="s">
        <v>83</v>
      </c>
      <c r="B24" s="70" t="s">
        <v>26</v>
      </c>
      <c r="C24" s="65">
        <v>27341.49</v>
      </c>
      <c r="D24" s="65" t="s">
        <v>67</v>
      </c>
      <c r="E24" s="40">
        <f t="shared" si="0"/>
        <v>2.1740555568969842E-2</v>
      </c>
      <c r="F24">
        <f t="shared" si="1"/>
        <v>0</v>
      </c>
      <c r="G24">
        <f t="shared" si="2"/>
        <v>6.5000000002328306E-2</v>
      </c>
      <c r="I24">
        <f t="shared" ref="I24:I34" si="5">+G24</f>
        <v>6.5000000002328306E-2</v>
      </c>
      <c r="O24">
        <f t="shared" ca="1" si="3"/>
        <v>6.6908211213287383E-2</v>
      </c>
      <c r="Q24" s="1">
        <f t="shared" si="4"/>
        <v>12322.990000000002</v>
      </c>
      <c r="R24" s="1"/>
      <c r="S24" s="1"/>
      <c r="T24" s="1"/>
    </row>
    <row r="25" spans="1:21" x14ac:dyDescent="0.2">
      <c r="A25" s="59" t="s">
        <v>83</v>
      </c>
      <c r="B25" s="64" t="s">
        <v>26</v>
      </c>
      <c r="C25" s="59">
        <v>27751.34</v>
      </c>
      <c r="D25" s="59" t="s">
        <v>67</v>
      </c>
      <c r="E25" s="40">
        <f t="shared" si="0"/>
        <v>137.10430516515493</v>
      </c>
      <c r="F25">
        <f t="shared" si="1"/>
        <v>137</v>
      </c>
      <c r="G25">
        <f t="shared" si="2"/>
        <v>0.31185200000254554</v>
      </c>
      <c r="I25">
        <f t="shared" si="5"/>
        <v>0.31185200000254554</v>
      </c>
      <c r="O25">
        <f t="shared" ca="1" si="3"/>
        <v>6.8753046650656902E-2</v>
      </c>
      <c r="Q25" s="1">
        <f t="shared" si="4"/>
        <v>12732.84</v>
      </c>
      <c r="R25" s="1"/>
      <c r="S25" s="1"/>
      <c r="T25" s="1"/>
    </row>
    <row r="26" spans="1:21" x14ac:dyDescent="0.2">
      <c r="A26" s="59" t="s">
        <v>83</v>
      </c>
      <c r="B26" s="64" t="s">
        <v>26</v>
      </c>
      <c r="C26" s="59">
        <v>28573.200000000001</v>
      </c>
      <c r="D26" s="59" t="s">
        <v>67</v>
      </c>
      <c r="E26" s="40">
        <f t="shared" si="0"/>
        <v>411.9918897693633</v>
      </c>
      <c r="F26">
        <f t="shared" si="1"/>
        <v>412</v>
      </c>
      <c r="G26">
        <f t="shared" si="2"/>
        <v>-2.4247999997896841E-2</v>
      </c>
      <c r="I26">
        <f t="shared" si="5"/>
        <v>-2.4247999997896841E-2</v>
      </c>
      <c r="O26">
        <f t="shared" ca="1" si="3"/>
        <v>7.2456183477493538E-2</v>
      </c>
      <c r="Q26" s="1">
        <f t="shared" si="4"/>
        <v>13554.7</v>
      </c>
      <c r="R26" s="1"/>
      <c r="S26" s="1"/>
      <c r="T26" s="1"/>
    </row>
    <row r="27" spans="1:21" x14ac:dyDescent="0.2">
      <c r="A27" s="59" t="s">
        <v>75</v>
      </c>
      <c r="B27" s="64" t="s">
        <v>26</v>
      </c>
      <c r="C27" s="59">
        <v>28576.21</v>
      </c>
      <c r="D27" s="59" t="s">
        <v>67</v>
      </c>
      <c r="E27" s="40">
        <f t="shared" si="0"/>
        <v>412.99864472721288</v>
      </c>
      <c r="F27">
        <f t="shared" si="1"/>
        <v>413</v>
      </c>
      <c r="G27">
        <f t="shared" si="2"/>
        <v>-4.0520000002288725E-3</v>
      </c>
      <c r="I27">
        <f t="shared" si="5"/>
        <v>-4.0520000002288725E-3</v>
      </c>
      <c r="O27">
        <f t="shared" ca="1" si="3"/>
        <v>7.2469649429591124E-2</v>
      </c>
      <c r="Q27" s="1">
        <f t="shared" si="4"/>
        <v>13557.71</v>
      </c>
      <c r="R27" s="1"/>
      <c r="S27" s="1"/>
      <c r="T27" s="1"/>
    </row>
    <row r="28" spans="1:21" x14ac:dyDescent="0.2">
      <c r="A28" s="59" t="s">
        <v>83</v>
      </c>
      <c r="B28" s="64" t="s">
        <v>26</v>
      </c>
      <c r="C28" s="59">
        <v>28576.22</v>
      </c>
      <c r="D28" s="59" t="s">
        <v>67</v>
      </c>
      <c r="E28" s="40">
        <f t="shared" si="0"/>
        <v>413.0019894280702</v>
      </c>
      <c r="F28">
        <f t="shared" si="1"/>
        <v>413</v>
      </c>
      <c r="G28">
        <f t="shared" si="2"/>
        <v>5.9480000018083956E-3</v>
      </c>
      <c r="I28">
        <f t="shared" si="5"/>
        <v>5.9480000018083956E-3</v>
      </c>
      <c r="O28">
        <f t="shared" ca="1" si="3"/>
        <v>7.2469649429591124E-2</v>
      </c>
      <c r="Q28" s="1">
        <f t="shared" si="4"/>
        <v>13557.720000000001</v>
      </c>
      <c r="R28" s="1"/>
      <c r="S28" s="1"/>
      <c r="T28" s="1"/>
    </row>
    <row r="29" spans="1:21" x14ac:dyDescent="0.2">
      <c r="A29" s="62" t="s">
        <v>83</v>
      </c>
      <c r="B29" s="60" t="s">
        <v>26</v>
      </c>
      <c r="C29" s="61">
        <v>28597.24</v>
      </c>
      <c r="D29" s="59" t="s">
        <v>67</v>
      </c>
      <c r="E29" s="40">
        <f t="shared" si="0"/>
        <v>420.03255062873768</v>
      </c>
      <c r="F29">
        <f t="shared" si="1"/>
        <v>420</v>
      </c>
      <c r="G29">
        <f t="shared" si="2"/>
        <v>9.7320000000763685E-2</v>
      </c>
      <c r="I29">
        <f t="shared" si="5"/>
        <v>9.7320000000763685E-2</v>
      </c>
      <c r="O29">
        <f t="shared" ca="1" si="3"/>
        <v>7.2563911094274236E-2</v>
      </c>
      <c r="Q29" s="1">
        <f t="shared" si="4"/>
        <v>13578.740000000002</v>
      </c>
      <c r="R29" s="1"/>
      <c r="S29" s="1"/>
      <c r="T29" s="1"/>
    </row>
    <row r="30" spans="1:21" x14ac:dyDescent="0.2">
      <c r="A30" s="63" t="s">
        <v>75</v>
      </c>
      <c r="B30" s="60" t="s">
        <v>26</v>
      </c>
      <c r="C30" s="61">
        <v>28776.53</v>
      </c>
      <c r="D30" s="61" t="s">
        <v>67</v>
      </c>
      <c r="E30" s="40">
        <f t="shared" si="0"/>
        <v>479.99969228752104</v>
      </c>
      <c r="F30">
        <f t="shared" si="1"/>
        <v>480</v>
      </c>
      <c r="G30">
        <f t="shared" si="2"/>
        <v>-9.1999999858671799E-4</v>
      </c>
      <c r="I30">
        <f t="shared" si="5"/>
        <v>-9.1999999858671799E-4</v>
      </c>
      <c r="O30">
        <f t="shared" ca="1" si="3"/>
        <v>7.3371868220129505E-2</v>
      </c>
      <c r="Q30" s="1">
        <f t="shared" si="4"/>
        <v>13758.029999999999</v>
      </c>
      <c r="R30" s="1"/>
      <c r="S30" s="1"/>
      <c r="T30" s="1"/>
    </row>
    <row r="31" spans="1:21" x14ac:dyDescent="0.2">
      <c r="A31" s="62" t="s">
        <v>104</v>
      </c>
      <c r="B31" s="60" t="s">
        <v>26</v>
      </c>
      <c r="C31" s="61">
        <v>29117.399000000001</v>
      </c>
      <c r="D31" s="59" t="s">
        <v>67</v>
      </c>
      <c r="E31" s="40">
        <f t="shared" si="0"/>
        <v>594.01017591788695</v>
      </c>
      <c r="F31">
        <f t="shared" si="1"/>
        <v>594</v>
      </c>
      <c r="G31">
        <f t="shared" si="2"/>
        <v>3.0424000000493834E-2</v>
      </c>
      <c r="I31">
        <f t="shared" si="5"/>
        <v>3.0424000000493834E-2</v>
      </c>
      <c r="O31">
        <f t="shared" ca="1" si="3"/>
        <v>7.4906986759254501E-2</v>
      </c>
      <c r="Q31" s="1">
        <f t="shared" si="4"/>
        <v>14098.899000000001</v>
      </c>
      <c r="R31" s="1"/>
      <c r="S31" s="1"/>
      <c r="T31" s="1"/>
    </row>
    <row r="32" spans="1:21" x14ac:dyDescent="0.2">
      <c r="A32" s="63" t="s">
        <v>75</v>
      </c>
      <c r="B32" s="60" t="s">
        <v>26</v>
      </c>
      <c r="C32" s="61">
        <v>29135.32</v>
      </c>
      <c r="D32" s="61" t="s">
        <v>67</v>
      </c>
      <c r="E32" s="40">
        <f t="shared" si="0"/>
        <v>600.00421432307951</v>
      </c>
      <c r="F32">
        <f t="shared" si="1"/>
        <v>600</v>
      </c>
      <c r="G32">
        <f t="shared" si="2"/>
        <v>1.2600000001839362E-2</v>
      </c>
      <c r="I32">
        <f t="shared" si="5"/>
        <v>1.2600000001839362E-2</v>
      </c>
      <c r="O32">
        <f t="shared" ca="1" si="3"/>
        <v>7.4987782471840028E-2</v>
      </c>
      <c r="Q32" s="1">
        <f t="shared" si="4"/>
        <v>14116.82</v>
      </c>
      <c r="R32" s="1"/>
      <c r="S32" s="1"/>
      <c r="T32" s="1"/>
    </row>
    <row r="33" spans="1:20" x14ac:dyDescent="0.2">
      <c r="A33" s="62" t="s">
        <v>75</v>
      </c>
      <c r="B33" s="60" t="s">
        <v>26</v>
      </c>
      <c r="C33" s="61">
        <v>29727.27</v>
      </c>
      <c r="D33" s="59" t="s">
        <v>67</v>
      </c>
      <c r="E33" s="40">
        <f t="shared" si="0"/>
        <v>797.99378153216776</v>
      </c>
      <c r="F33">
        <f t="shared" si="1"/>
        <v>798</v>
      </c>
      <c r="G33">
        <f t="shared" si="2"/>
        <v>-1.8591999996715458E-2</v>
      </c>
      <c r="I33">
        <f t="shared" si="5"/>
        <v>-1.8591999996715458E-2</v>
      </c>
      <c r="O33">
        <f t="shared" ca="1" si="3"/>
        <v>7.7654040987162401E-2</v>
      </c>
      <c r="Q33" s="1">
        <f t="shared" si="4"/>
        <v>14708.77</v>
      </c>
      <c r="R33" s="1"/>
      <c r="S33" s="1"/>
      <c r="T33" s="1"/>
    </row>
    <row r="34" spans="1:20" x14ac:dyDescent="0.2">
      <c r="A34" s="63" t="s">
        <v>104</v>
      </c>
      <c r="B34" s="60" t="s">
        <v>26</v>
      </c>
      <c r="C34" s="61">
        <v>31192.238000000001</v>
      </c>
      <c r="D34" s="61" t="s">
        <v>67</v>
      </c>
      <c r="E34" s="40">
        <f t="shared" si="0"/>
        <v>1287.9817539878875</v>
      </c>
      <c r="F34">
        <f t="shared" si="1"/>
        <v>1288</v>
      </c>
      <c r="G34">
        <f t="shared" si="2"/>
        <v>-5.4551999997784151E-2</v>
      </c>
      <c r="I34">
        <f t="shared" si="5"/>
        <v>-5.4551999997784151E-2</v>
      </c>
      <c r="O34">
        <f t="shared" ca="1" si="3"/>
        <v>8.4252357514980392E-2</v>
      </c>
      <c r="Q34" s="1">
        <f t="shared" si="4"/>
        <v>16173.738000000001</v>
      </c>
      <c r="R34" s="1"/>
      <c r="S34" s="1"/>
      <c r="T34" s="1"/>
    </row>
    <row r="35" spans="1:20" x14ac:dyDescent="0.2">
      <c r="A35" s="59" t="s">
        <v>116</v>
      </c>
      <c r="B35" s="64" t="s">
        <v>26</v>
      </c>
      <c r="C35" s="59">
        <v>31404.562999999998</v>
      </c>
      <c r="D35" s="59" t="s">
        <v>67</v>
      </c>
      <c r="E35" s="40">
        <f t="shared" si="0"/>
        <v>1358.9981149265968</v>
      </c>
      <c r="F35">
        <f t="shared" si="1"/>
        <v>1359</v>
      </c>
      <c r="G35">
        <f t="shared" si="2"/>
        <v>-5.6360000016866252E-3</v>
      </c>
      <c r="H35">
        <f>+G35</f>
        <v>-5.6360000016866252E-3</v>
      </c>
      <c r="O35">
        <f t="shared" ca="1" si="3"/>
        <v>8.5208440113909129E-2</v>
      </c>
      <c r="Q35" s="1">
        <f t="shared" si="4"/>
        <v>16386.062999999998</v>
      </c>
      <c r="R35" s="1"/>
      <c r="S35" s="1"/>
      <c r="T35" s="1"/>
    </row>
    <row r="36" spans="1:20" x14ac:dyDescent="0.2">
      <c r="A36" s="63" t="s">
        <v>104</v>
      </c>
      <c r="B36" s="60" t="s">
        <v>26</v>
      </c>
      <c r="C36" s="59">
        <v>31730.412</v>
      </c>
      <c r="D36" s="59" t="s">
        <v>67</v>
      </c>
      <c r="E36" s="40">
        <f t="shared" si="0"/>
        <v>1467.9848578702822</v>
      </c>
      <c r="F36">
        <f t="shared" si="1"/>
        <v>1468</v>
      </c>
      <c r="G36">
        <f t="shared" si="2"/>
        <v>-4.5271999999386026E-2</v>
      </c>
      <c r="I36">
        <f>+G36</f>
        <v>-4.5271999999386026E-2</v>
      </c>
      <c r="O36">
        <f t="shared" ca="1" si="3"/>
        <v>8.6676228892546198E-2</v>
      </c>
      <c r="Q36" s="1">
        <f t="shared" si="4"/>
        <v>16711.912</v>
      </c>
      <c r="R36" s="1"/>
      <c r="S36" s="1"/>
      <c r="T36" s="1"/>
    </row>
    <row r="37" spans="1:20" x14ac:dyDescent="0.2">
      <c r="A37" s="59" t="s">
        <v>116</v>
      </c>
      <c r="B37" s="64" t="s">
        <v>26</v>
      </c>
      <c r="C37" s="59">
        <v>32609.466</v>
      </c>
      <c r="D37" s="59" t="s">
        <v>67</v>
      </c>
      <c r="E37" s="40">
        <f t="shared" si="0"/>
        <v>1762.0021245539845</v>
      </c>
      <c r="F37">
        <f t="shared" si="1"/>
        <v>1762</v>
      </c>
      <c r="G37">
        <f t="shared" si="2"/>
        <v>6.3520000003336463E-3</v>
      </c>
      <c r="H37">
        <f>+G37</f>
        <v>6.3520000003336463E-3</v>
      </c>
      <c r="O37">
        <f t="shared" ca="1" si="3"/>
        <v>9.0635218809236986E-2</v>
      </c>
      <c r="Q37" s="1">
        <f t="shared" si="4"/>
        <v>17590.966</v>
      </c>
      <c r="R37" s="1"/>
      <c r="S37" s="1"/>
      <c r="T37" s="1"/>
    </row>
    <row r="38" spans="1:20" x14ac:dyDescent="0.2">
      <c r="A38" s="59" t="s">
        <v>104</v>
      </c>
      <c r="B38" s="64" t="s">
        <v>26</v>
      </c>
      <c r="C38" s="59">
        <v>33500.322999999997</v>
      </c>
      <c r="D38" s="59" t="s">
        <v>67</v>
      </c>
      <c r="E38" s="40">
        <f t="shared" si="0"/>
        <v>2059.9671416587835</v>
      </c>
      <c r="F38">
        <f t="shared" si="1"/>
        <v>2060</v>
      </c>
      <c r="G38">
        <f t="shared" si="2"/>
        <v>-9.8239999999350403E-2</v>
      </c>
      <c r="I38">
        <f>+G38</f>
        <v>-9.8239999999350403E-2</v>
      </c>
      <c r="O38">
        <f t="shared" ca="1" si="3"/>
        <v>9.4648072534318145E-2</v>
      </c>
      <c r="Q38" s="1">
        <f t="shared" si="4"/>
        <v>18481.822999999997</v>
      </c>
      <c r="R38" s="1"/>
      <c r="S38" s="1"/>
      <c r="T38" s="1"/>
    </row>
    <row r="39" spans="1:20" x14ac:dyDescent="0.2">
      <c r="A39" s="59" t="s">
        <v>104</v>
      </c>
      <c r="B39" s="64" t="s">
        <v>26</v>
      </c>
      <c r="C39" s="59">
        <v>33506.311999999998</v>
      </c>
      <c r="D39" s="59" t="s">
        <v>67</v>
      </c>
      <c r="E39" s="40">
        <f t="shared" si="0"/>
        <v>2061.9702830018286</v>
      </c>
      <c r="F39">
        <f t="shared" si="1"/>
        <v>2062</v>
      </c>
      <c r="G39">
        <f t="shared" si="2"/>
        <v>-8.8847999999416061E-2</v>
      </c>
      <c r="I39">
        <f>+G39</f>
        <v>-8.8847999999416061E-2</v>
      </c>
      <c r="O39">
        <f t="shared" ca="1" si="3"/>
        <v>9.4675004438513316E-2</v>
      </c>
      <c r="Q39" s="1">
        <f t="shared" si="4"/>
        <v>18487.811999999998</v>
      </c>
      <c r="R39" s="1"/>
      <c r="S39" s="1"/>
      <c r="T39" s="1"/>
    </row>
    <row r="40" spans="1:20" x14ac:dyDescent="0.2">
      <c r="A40" s="59" t="s">
        <v>104</v>
      </c>
      <c r="B40" s="64" t="s">
        <v>26</v>
      </c>
      <c r="C40" s="59">
        <v>33566.292999999998</v>
      </c>
      <c r="D40" s="59" t="s">
        <v>67</v>
      </c>
      <c r="E40" s="40">
        <f t="shared" si="0"/>
        <v>2082.0321332100693</v>
      </c>
      <c r="F40">
        <f t="shared" si="1"/>
        <v>2082</v>
      </c>
      <c r="G40">
        <f t="shared" si="2"/>
        <v>9.6072000000276603E-2</v>
      </c>
      <c r="I40">
        <f>+G40</f>
        <v>9.6072000000276603E-2</v>
      </c>
      <c r="O40">
        <f t="shared" ca="1" si="3"/>
        <v>9.4944323480465068E-2</v>
      </c>
      <c r="Q40" s="1">
        <f t="shared" si="4"/>
        <v>18547.792999999998</v>
      </c>
      <c r="R40" s="1"/>
      <c r="S40" s="1"/>
      <c r="T40" s="1"/>
    </row>
    <row r="41" spans="1:20" x14ac:dyDescent="0.2">
      <c r="A41" s="59" t="s">
        <v>104</v>
      </c>
      <c r="B41" s="64" t="s">
        <v>26</v>
      </c>
      <c r="C41" s="59">
        <v>33569.178999999996</v>
      </c>
      <c r="D41" s="59" t="s">
        <v>67</v>
      </c>
      <c r="E41" s="40">
        <f t="shared" si="0"/>
        <v>2082.9974138772968</v>
      </c>
      <c r="F41">
        <f t="shared" si="1"/>
        <v>2083</v>
      </c>
      <c r="G41">
        <f t="shared" si="2"/>
        <v>-7.7320000054896809E-3</v>
      </c>
      <c r="I41">
        <f>+G41</f>
        <v>-7.7320000054896809E-3</v>
      </c>
      <c r="O41">
        <f t="shared" ca="1" si="3"/>
        <v>9.4957789432562653E-2</v>
      </c>
      <c r="Q41" s="1">
        <f t="shared" si="4"/>
        <v>18550.678999999996</v>
      </c>
      <c r="R41" s="1"/>
      <c r="S41" s="1"/>
      <c r="T41" s="1"/>
    </row>
    <row r="42" spans="1:20" x14ac:dyDescent="0.2">
      <c r="A42" s="59" t="s">
        <v>116</v>
      </c>
      <c r="B42" s="64" t="s">
        <v>26</v>
      </c>
      <c r="C42" s="59">
        <v>35754.730000000003</v>
      </c>
      <c r="D42" s="59" t="s">
        <v>67</v>
      </c>
      <c r="E42" s="40">
        <f t="shared" si="0"/>
        <v>2813.9988440713855</v>
      </c>
      <c r="F42">
        <f t="shared" si="1"/>
        <v>2814</v>
      </c>
      <c r="G42">
        <f t="shared" si="2"/>
        <v>-3.4559999985503964E-3</v>
      </c>
      <c r="H42">
        <f>+G42</f>
        <v>-3.4559999985503964E-3</v>
      </c>
      <c r="O42">
        <f t="shared" ca="1" si="3"/>
        <v>0.1048014004158993</v>
      </c>
      <c r="Q42" s="1">
        <f t="shared" si="4"/>
        <v>20736.230000000003</v>
      </c>
      <c r="R42" s="1"/>
      <c r="S42" s="1"/>
      <c r="T42" s="1"/>
    </row>
    <row r="43" spans="1:20" x14ac:dyDescent="0.2">
      <c r="A43" s="59" t="s">
        <v>141</v>
      </c>
      <c r="B43" s="64" t="s">
        <v>26</v>
      </c>
      <c r="C43" s="59">
        <v>37016.430999999997</v>
      </c>
      <c r="D43" s="59" t="s">
        <v>67</v>
      </c>
      <c r="E43" s="40">
        <f t="shared" si="0"/>
        <v>3236.0000856243414</v>
      </c>
      <c r="F43">
        <f t="shared" si="1"/>
        <v>3236</v>
      </c>
      <c r="G43">
        <f t="shared" si="2"/>
        <v>2.5599999935366213E-4</v>
      </c>
      <c r="I43">
        <f t="shared" ref="I43:I69" si="6">+G43</f>
        <v>2.5599999935366213E-4</v>
      </c>
      <c r="O43">
        <f t="shared" ca="1" si="3"/>
        <v>0.11048403220108133</v>
      </c>
      <c r="Q43" s="1">
        <f t="shared" si="4"/>
        <v>21997.930999999997</v>
      </c>
      <c r="R43" s="1"/>
      <c r="S43" s="1"/>
      <c r="T43" s="1"/>
    </row>
    <row r="44" spans="1:20" x14ac:dyDescent="0.2">
      <c r="A44" s="59" t="s">
        <v>141</v>
      </c>
      <c r="B44" s="64" t="s">
        <v>26</v>
      </c>
      <c r="C44" s="59">
        <v>37025.372000000003</v>
      </c>
      <c r="D44" s="59" t="s">
        <v>67</v>
      </c>
      <c r="E44" s="40">
        <f t="shared" si="0"/>
        <v>3238.9905826602694</v>
      </c>
      <c r="F44">
        <f t="shared" si="1"/>
        <v>3239</v>
      </c>
      <c r="G44">
        <f t="shared" si="2"/>
        <v>-2.8156000000308268E-2</v>
      </c>
      <c r="I44">
        <f t="shared" si="6"/>
        <v>-2.8156000000308268E-2</v>
      </c>
      <c r="O44">
        <f t="shared" ca="1" si="3"/>
        <v>0.11052443005737408</v>
      </c>
      <c r="Q44" s="1">
        <f t="shared" si="4"/>
        <v>22006.872000000003</v>
      </c>
      <c r="R44" s="1"/>
      <c r="S44" s="1"/>
      <c r="T44" s="1"/>
    </row>
    <row r="45" spans="1:20" x14ac:dyDescent="0.2">
      <c r="A45" s="59" t="s">
        <v>141</v>
      </c>
      <c r="B45" s="64" t="s">
        <v>26</v>
      </c>
      <c r="C45" s="59">
        <v>39088.362999999998</v>
      </c>
      <c r="D45" s="59" t="s">
        <v>67</v>
      </c>
      <c r="E45" s="40">
        <f t="shared" si="0"/>
        <v>3928.9993591553152</v>
      </c>
      <c r="F45">
        <f t="shared" si="1"/>
        <v>3929</v>
      </c>
      <c r="G45">
        <f t="shared" si="2"/>
        <v>-1.9160000010742806E-3</v>
      </c>
      <c r="I45">
        <f t="shared" si="6"/>
        <v>-1.9160000010742806E-3</v>
      </c>
      <c r="O45">
        <f t="shared" ca="1" si="3"/>
        <v>0.11981593700470963</v>
      </c>
      <c r="Q45" s="1">
        <f t="shared" si="4"/>
        <v>24069.862999999998</v>
      </c>
      <c r="R45" s="1"/>
      <c r="S45" s="1"/>
      <c r="T45" s="1"/>
    </row>
    <row r="46" spans="1:20" x14ac:dyDescent="0.2">
      <c r="A46" s="59" t="s">
        <v>152</v>
      </c>
      <c r="B46" s="64" t="s">
        <v>26</v>
      </c>
      <c r="C46" s="59">
        <v>41988.423999999999</v>
      </c>
      <c r="D46" s="59" t="s">
        <v>67</v>
      </c>
      <c r="E46" s="40">
        <f t="shared" si="0"/>
        <v>4898.9830102575288</v>
      </c>
      <c r="F46">
        <f t="shared" si="1"/>
        <v>4899</v>
      </c>
      <c r="G46">
        <f t="shared" si="2"/>
        <v>-5.0795999995898455E-2</v>
      </c>
      <c r="I46">
        <f t="shared" si="6"/>
        <v>-5.0795999995898455E-2</v>
      </c>
      <c r="O46">
        <f t="shared" ca="1" si="3"/>
        <v>0.13287791053936976</v>
      </c>
      <c r="Q46" s="1">
        <f t="shared" si="4"/>
        <v>26969.923999999999</v>
      </c>
      <c r="R46" s="1"/>
      <c r="S46" s="1"/>
      <c r="T46" s="1"/>
    </row>
    <row r="47" spans="1:20" x14ac:dyDescent="0.2">
      <c r="A47" s="59" t="s">
        <v>152</v>
      </c>
      <c r="B47" s="64" t="s">
        <v>26</v>
      </c>
      <c r="C47" s="59">
        <v>42009.364999999998</v>
      </c>
      <c r="D47" s="59" t="s">
        <v>67</v>
      </c>
      <c r="E47" s="40">
        <f t="shared" si="0"/>
        <v>4905.9871483214283</v>
      </c>
      <c r="F47">
        <f t="shared" si="1"/>
        <v>4906</v>
      </c>
      <c r="G47">
        <f t="shared" si="2"/>
        <v>-3.8423999998485669E-2</v>
      </c>
      <c r="I47">
        <f t="shared" si="6"/>
        <v>-3.8423999998485669E-2</v>
      </c>
      <c r="O47">
        <f t="shared" ca="1" si="3"/>
        <v>0.13297217220405286</v>
      </c>
      <c r="Q47" s="1">
        <f t="shared" si="4"/>
        <v>26990.864999999998</v>
      </c>
      <c r="R47" s="1"/>
      <c r="S47" s="1"/>
      <c r="T47" s="1"/>
    </row>
    <row r="48" spans="1:20" x14ac:dyDescent="0.2">
      <c r="A48" s="59" t="s">
        <v>141</v>
      </c>
      <c r="B48" s="64" t="s">
        <v>26</v>
      </c>
      <c r="C48" s="59">
        <v>42009.406999999999</v>
      </c>
      <c r="D48" s="59" t="s">
        <v>67</v>
      </c>
      <c r="E48" s="40">
        <f t="shared" si="0"/>
        <v>4906.0011960650263</v>
      </c>
      <c r="F48">
        <f t="shared" si="1"/>
        <v>4906</v>
      </c>
      <c r="G48">
        <f t="shared" si="2"/>
        <v>3.576000002794899E-3</v>
      </c>
      <c r="I48">
        <f t="shared" si="6"/>
        <v>3.576000002794899E-3</v>
      </c>
      <c r="O48">
        <f t="shared" ca="1" si="3"/>
        <v>0.13297217220405286</v>
      </c>
      <c r="Q48" s="1">
        <f t="shared" si="4"/>
        <v>26990.906999999999</v>
      </c>
      <c r="R48" s="1"/>
      <c r="S48" s="1"/>
      <c r="T48" s="1"/>
    </row>
    <row r="49" spans="1:20" x14ac:dyDescent="0.2">
      <c r="A49" s="59" t="s">
        <v>141</v>
      </c>
      <c r="B49" s="64" t="s">
        <v>26</v>
      </c>
      <c r="C49" s="59">
        <v>42036.328000000001</v>
      </c>
      <c r="D49" s="59" t="s">
        <v>67</v>
      </c>
      <c r="E49" s="40">
        <f t="shared" si="0"/>
        <v>4915.0054652412009</v>
      </c>
      <c r="F49">
        <f t="shared" si="1"/>
        <v>4915</v>
      </c>
      <c r="G49">
        <f t="shared" si="2"/>
        <v>1.6340000001946464E-2</v>
      </c>
      <c r="I49">
        <f t="shared" si="6"/>
        <v>1.6340000001946464E-2</v>
      </c>
      <c r="O49">
        <f t="shared" ca="1" si="3"/>
        <v>0.13309336577293115</v>
      </c>
      <c r="Q49" s="1">
        <f t="shared" si="4"/>
        <v>27017.828000000001</v>
      </c>
      <c r="R49" s="1"/>
      <c r="S49" s="1"/>
      <c r="T49" s="1"/>
    </row>
    <row r="50" spans="1:20" x14ac:dyDescent="0.2">
      <c r="A50" s="59" t="s">
        <v>152</v>
      </c>
      <c r="B50" s="64" t="s">
        <v>26</v>
      </c>
      <c r="C50" s="59">
        <v>42069.322</v>
      </c>
      <c r="D50" s="59" t="s">
        <v>67</v>
      </c>
      <c r="E50" s="40">
        <f t="shared" si="0"/>
        <v>4926.0409712476139</v>
      </c>
      <c r="F50">
        <f t="shared" si="1"/>
        <v>4926</v>
      </c>
      <c r="G50">
        <f t="shared" si="2"/>
        <v>0.12249600000359351</v>
      </c>
      <c r="I50">
        <f t="shared" si="6"/>
        <v>0.12249600000359351</v>
      </c>
      <c r="O50">
        <f t="shared" ca="1" si="3"/>
        <v>0.1332414912460046</v>
      </c>
      <c r="Q50" s="1">
        <f t="shared" si="4"/>
        <v>27050.822</v>
      </c>
      <c r="R50" s="1"/>
      <c r="S50" s="1"/>
      <c r="T50" s="1"/>
    </row>
    <row r="51" spans="1:20" x14ac:dyDescent="0.2">
      <c r="A51" s="59" t="s">
        <v>152</v>
      </c>
      <c r="B51" s="64" t="s">
        <v>26</v>
      </c>
      <c r="C51" s="59">
        <v>42275.482000000004</v>
      </c>
      <c r="D51" s="59" t="s">
        <v>67</v>
      </c>
      <c r="E51" s="40">
        <f t="shared" si="0"/>
        <v>4994.9953241082039</v>
      </c>
      <c r="F51">
        <f t="shared" si="1"/>
        <v>4995</v>
      </c>
      <c r="G51">
        <f t="shared" si="2"/>
        <v>-1.397999999608146E-2</v>
      </c>
      <c r="I51">
        <f t="shared" si="6"/>
        <v>-1.397999999608146E-2</v>
      </c>
      <c r="O51">
        <f t="shared" ca="1" si="3"/>
        <v>0.13417064194073819</v>
      </c>
      <c r="Q51" s="1">
        <f t="shared" si="4"/>
        <v>27256.982000000004</v>
      </c>
      <c r="R51" s="1"/>
      <c r="S51" s="1"/>
      <c r="T51" s="1"/>
    </row>
    <row r="52" spans="1:20" x14ac:dyDescent="0.2">
      <c r="A52" s="59" t="s">
        <v>152</v>
      </c>
      <c r="B52" s="64" t="s">
        <v>26</v>
      </c>
      <c r="C52" s="59">
        <v>42302.445</v>
      </c>
      <c r="D52" s="59" t="s">
        <v>67</v>
      </c>
      <c r="E52" s="40">
        <f t="shared" si="0"/>
        <v>5004.0136410279738</v>
      </c>
      <c r="F52">
        <f t="shared" si="1"/>
        <v>5004</v>
      </c>
      <c r="G52">
        <f t="shared" si="2"/>
        <v>4.0784000004350673E-2</v>
      </c>
      <c r="I52">
        <f t="shared" si="6"/>
        <v>4.0784000004350673E-2</v>
      </c>
      <c r="O52">
        <f t="shared" ca="1" si="3"/>
        <v>0.13429183550961646</v>
      </c>
      <c r="Q52" s="1">
        <f t="shared" si="4"/>
        <v>27283.945</v>
      </c>
      <c r="R52" s="1"/>
      <c r="S52" s="1"/>
      <c r="T52" s="1"/>
    </row>
    <row r="53" spans="1:20" x14ac:dyDescent="0.2">
      <c r="A53" s="59" t="s">
        <v>175</v>
      </c>
      <c r="B53" s="64" t="s">
        <v>26</v>
      </c>
      <c r="C53" s="59">
        <v>43073.745999999999</v>
      </c>
      <c r="D53" s="59" t="s">
        <v>67</v>
      </c>
      <c r="E53" s="40">
        <f t="shared" ref="E53:E84" si="7">+(C53-C$7)/C$8</f>
        <v>5261.9907525710714</v>
      </c>
      <c r="F53">
        <f t="shared" ref="F53:F84" si="8">ROUND(2*E53,0)/2</f>
        <v>5262</v>
      </c>
      <c r="G53">
        <f t="shared" ref="G53:G84" si="9">+C53-(C$7+F53*C$8)</f>
        <v>-2.7648000002955087E-2</v>
      </c>
      <c r="I53">
        <f t="shared" si="6"/>
        <v>-2.7648000002955087E-2</v>
      </c>
      <c r="O53">
        <f t="shared" ref="O53:O84" ca="1" si="10">+C$11+C$12*F53</f>
        <v>0.1377660511507941</v>
      </c>
      <c r="Q53" s="1">
        <f t="shared" ref="Q53:Q84" si="11">+C53-15018.5</f>
        <v>28055.245999999999</v>
      </c>
      <c r="R53" s="1"/>
      <c r="S53" s="1"/>
      <c r="T53" s="1"/>
    </row>
    <row r="54" spans="1:20" x14ac:dyDescent="0.2">
      <c r="A54" s="59" t="s">
        <v>152</v>
      </c>
      <c r="B54" s="64" t="s">
        <v>26</v>
      </c>
      <c r="C54" s="59">
        <v>43483.337</v>
      </c>
      <c r="D54" s="59" t="s">
        <v>67</v>
      </c>
      <c r="E54" s="40">
        <f t="shared" si="7"/>
        <v>5398.9866894284714</v>
      </c>
      <c r="F54">
        <f t="shared" si="8"/>
        <v>5399</v>
      </c>
      <c r="G54">
        <f t="shared" si="9"/>
        <v>-3.9795999997295439E-2</v>
      </c>
      <c r="I54">
        <f t="shared" si="6"/>
        <v>-3.9795999997295439E-2</v>
      </c>
      <c r="O54">
        <f t="shared" ca="1" si="10"/>
        <v>0.13961088658816362</v>
      </c>
      <c r="Q54" s="1">
        <f t="shared" si="11"/>
        <v>28464.837</v>
      </c>
      <c r="R54" s="1"/>
      <c r="S54" s="1"/>
      <c r="T54" s="1"/>
    </row>
    <row r="55" spans="1:20" x14ac:dyDescent="0.2">
      <c r="A55" s="59" t="s">
        <v>175</v>
      </c>
      <c r="B55" s="64" t="s">
        <v>26</v>
      </c>
      <c r="C55" s="59">
        <v>44520.845999999998</v>
      </c>
      <c r="D55" s="59" t="s">
        <v>67</v>
      </c>
      <c r="E55" s="40">
        <f t="shared" si="7"/>
        <v>5746.0024135361382</v>
      </c>
      <c r="F55">
        <f t="shared" si="8"/>
        <v>5746</v>
      </c>
      <c r="G55">
        <f t="shared" si="9"/>
        <v>7.215999998152256E-3</v>
      </c>
      <c r="I55">
        <f t="shared" si="6"/>
        <v>7.215999998152256E-3</v>
      </c>
      <c r="O55">
        <f t="shared" ca="1" si="10"/>
        <v>0.14428357196602656</v>
      </c>
      <c r="Q55" s="1">
        <f t="shared" si="11"/>
        <v>29502.345999999998</v>
      </c>
      <c r="R55" s="1"/>
      <c r="S55" s="1"/>
      <c r="T55" s="1"/>
    </row>
    <row r="56" spans="1:20" x14ac:dyDescent="0.2">
      <c r="A56" s="59" t="s">
        <v>152</v>
      </c>
      <c r="B56" s="64" t="s">
        <v>26</v>
      </c>
      <c r="C56" s="59">
        <v>45211.519</v>
      </c>
      <c r="D56" s="59" t="s">
        <v>67</v>
      </c>
      <c r="E56" s="40">
        <f t="shared" si="7"/>
        <v>5977.0118710122806</v>
      </c>
      <c r="F56">
        <f t="shared" si="8"/>
        <v>5977</v>
      </c>
      <c r="G56">
        <f t="shared" si="9"/>
        <v>3.5492000002705026E-2</v>
      </c>
      <c r="I56">
        <f t="shared" si="6"/>
        <v>3.5492000002705026E-2</v>
      </c>
      <c r="O56">
        <f t="shared" ca="1" si="10"/>
        <v>0.14739420690056931</v>
      </c>
      <c r="Q56" s="1">
        <f t="shared" si="11"/>
        <v>30193.019</v>
      </c>
      <c r="R56" s="1"/>
      <c r="S56" s="1"/>
      <c r="T56" s="1"/>
    </row>
    <row r="57" spans="1:20" x14ac:dyDescent="0.2">
      <c r="A57" s="59" t="s">
        <v>152</v>
      </c>
      <c r="B57" s="64" t="s">
        <v>26</v>
      </c>
      <c r="C57" s="59">
        <v>45229.468000000001</v>
      </c>
      <c r="D57" s="59" t="s">
        <v>67</v>
      </c>
      <c r="E57" s="40">
        <f t="shared" si="7"/>
        <v>5983.0152745798732</v>
      </c>
      <c r="F57">
        <f t="shared" si="8"/>
        <v>5983</v>
      </c>
      <c r="G57">
        <f t="shared" si="9"/>
        <v>4.5667999998840969E-2</v>
      </c>
      <c r="I57">
        <f t="shared" si="6"/>
        <v>4.5667999998840969E-2</v>
      </c>
      <c r="O57">
        <f t="shared" ca="1" si="10"/>
        <v>0.14747500261315485</v>
      </c>
      <c r="Q57" s="1">
        <f t="shared" si="11"/>
        <v>30210.968000000001</v>
      </c>
      <c r="R57" s="1"/>
      <c r="S57" s="1"/>
      <c r="T57" s="1"/>
    </row>
    <row r="58" spans="1:20" x14ac:dyDescent="0.2">
      <c r="A58" s="59" t="s">
        <v>152</v>
      </c>
      <c r="B58" s="64" t="s">
        <v>26</v>
      </c>
      <c r="C58" s="59">
        <v>45238.489000000001</v>
      </c>
      <c r="D58" s="59" t="s">
        <v>67</v>
      </c>
      <c r="E58" s="40">
        <f t="shared" si="7"/>
        <v>5986.0325292226526</v>
      </c>
      <c r="F58">
        <f t="shared" si="8"/>
        <v>5986</v>
      </c>
      <c r="G58">
        <f t="shared" si="9"/>
        <v>9.7256000000925269E-2</v>
      </c>
      <c r="I58">
        <f t="shared" si="6"/>
        <v>9.7256000000925269E-2</v>
      </c>
      <c r="O58">
        <f t="shared" ca="1" si="10"/>
        <v>0.14751540046944761</v>
      </c>
      <c r="Q58" s="1">
        <f t="shared" si="11"/>
        <v>30219.989000000001</v>
      </c>
      <c r="R58" s="1"/>
      <c r="S58" s="1"/>
      <c r="T58" s="1"/>
    </row>
    <row r="59" spans="1:20" x14ac:dyDescent="0.2">
      <c r="A59" s="59" t="s">
        <v>152</v>
      </c>
      <c r="B59" s="64" t="s">
        <v>26</v>
      </c>
      <c r="C59" s="59">
        <v>45268.436999999998</v>
      </c>
      <c r="D59" s="59" t="s">
        <v>67</v>
      </c>
      <c r="E59" s="40">
        <f t="shared" si="7"/>
        <v>5996.0492393481309</v>
      </c>
      <c r="F59">
        <f t="shared" si="8"/>
        <v>5996</v>
      </c>
      <c r="G59">
        <f t="shared" si="9"/>
        <v>0.14721599999757018</v>
      </c>
      <c r="I59">
        <f t="shared" si="6"/>
        <v>0.14721599999757018</v>
      </c>
      <c r="O59">
        <f t="shared" ca="1" si="10"/>
        <v>0.14765005999042352</v>
      </c>
      <c r="Q59" s="1">
        <f t="shared" si="11"/>
        <v>30249.936999999998</v>
      </c>
      <c r="R59" s="1"/>
      <c r="S59" s="1"/>
      <c r="T59" s="1"/>
    </row>
    <row r="60" spans="1:20" x14ac:dyDescent="0.2">
      <c r="A60" s="59" t="s">
        <v>152</v>
      </c>
      <c r="B60" s="64" t="s">
        <v>26</v>
      </c>
      <c r="C60" s="59">
        <v>45525.508000000002</v>
      </c>
      <c r="D60" s="59" t="s">
        <v>67</v>
      </c>
      <c r="E60" s="40">
        <f t="shared" si="7"/>
        <v>6082.0317987399849</v>
      </c>
      <c r="F60">
        <f t="shared" si="8"/>
        <v>6082</v>
      </c>
      <c r="G60">
        <f t="shared" si="9"/>
        <v>9.5072000003710855E-2</v>
      </c>
      <c r="I60">
        <f t="shared" si="6"/>
        <v>9.5072000003710855E-2</v>
      </c>
      <c r="O60">
        <f t="shared" ca="1" si="10"/>
        <v>0.14880813187081604</v>
      </c>
      <c r="Q60" s="1">
        <f t="shared" si="11"/>
        <v>30507.008000000002</v>
      </c>
      <c r="R60" s="1"/>
      <c r="S60" s="1"/>
      <c r="T60" s="1"/>
    </row>
    <row r="61" spans="1:20" x14ac:dyDescent="0.2">
      <c r="A61" s="59" t="s">
        <v>152</v>
      </c>
      <c r="B61" s="64" t="s">
        <v>26</v>
      </c>
      <c r="C61" s="59">
        <v>45528.500999999997</v>
      </c>
      <c r="D61" s="59" t="s">
        <v>67</v>
      </c>
      <c r="E61" s="40">
        <f t="shared" si="7"/>
        <v>6083.0328677063771</v>
      </c>
      <c r="F61">
        <f t="shared" si="8"/>
        <v>6083</v>
      </c>
      <c r="G61">
        <f t="shared" si="9"/>
        <v>9.8267999994277488E-2</v>
      </c>
      <c r="I61">
        <f t="shared" si="6"/>
        <v>9.8267999994277488E-2</v>
      </c>
      <c r="O61">
        <f t="shared" ca="1" si="10"/>
        <v>0.14882159782291365</v>
      </c>
      <c r="Q61" s="1">
        <f t="shared" si="11"/>
        <v>30510.000999999997</v>
      </c>
      <c r="R61" s="1"/>
      <c r="S61" s="1"/>
      <c r="T61" s="1"/>
    </row>
    <row r="62" spans="1:20" x14ac:dyDescent="0.2">
      <c r="A62" s="59" t="s">
        <v>152</v>
      </c>
      <c r="B62" s="64" t="s">
        <v>26</v>
      </c>
      <c r="C62" s="59">
        <v>45531.512000000002</v>
      </c>
      <c r="D62" s="59" t="s">
        <v>67</v>
      </c>
      <c r="E62" s="40">
        <f t="shared" si="7"/>
        <v>6084.039957134315</v>
      </c>
      <c r="F62">
        <f t="shared" si="8"/>
        <v>6084</v>
      </c>
      <c r="G62">
        <f t="shared" si="9"/>
        <v>0.11946400000306312</v>
      </c>
      <c r="I62">
        <f t="shared" si="6"/>
        <v>0.11946400000306312</v>
      </c>
      <c r="O62">
        <f t="shared" ca="1" si="10"/>
        <v>0.14883506377501121</v>
      </c>
      <c r="Q62" s="1">
        <f t="shared" si="11"/>
        <v>30513.012000000002</v>
      </c>
      <c r="R62" s="1"/>
      <c r="S62" s="1"/>
      <c r="T62" s="1"/>
    </row>
    <row r="63" spans="1:20" x14ac:dyDescent="0.2">
      <c r="A63" s="59" t="s">
        <v>152</v>
      </c>
      <c r="B63" s="64" t="s">
        <v>26</v>
      </c>
      <c r="C63" s="59">
        <v>45534.517</v>
      </c>
      <c r="D63" s="59" t="s">
        <v>67</v>
      </c>
      <c r="E63" s="40">
        <f t="shared" si="7"/>
        <v>6085.0450397417362</v>
      </c>
      <c r="F63">
        <f t="shared" si="8"/>
        <v>6085</v>
      </c>
      <c r="G63">
        <f t="shared" si="9"/>
        <v>0.13466000000335043</v>
      </c>
      <c r="I63">
        <f t="shared" si="6"/>
        <v>0.13466000000335043</v>
      </c>
      <c r="O63">
        <f t="shared" ca="1" si="10"/>
        <v>0.14884852972710882</v>
      </c>
      <c r="Q63" s="1">
        <f t="shared" si="11"/>
        <v>30516.017</v>
      </c>
      <c r="R63" s="1"/>
      <c r="S63" s="1"/>
      <c r="T63" s="1"/>
    </row>
    <row r="64" spans="1:20" x14ac:dyDescent="0.2">
      <c r="A64" s="59" t="s">
        <v>152</v>
      </c>
      <c r="B64" s="64" t="s">
        <v>26</v>
      </c>
      <c r="C64" s="59">
        <v>45555.440999999999</v>
      </c>
      <c r="D64" s="59" t="s">
        <v>67</v>
      </c>
      <c r="E64" s="40">
        <f t="shared" si="7"/>
        <v>6092.0434918141791</v>
      </c>
      <c r="F64">
        <f t="shared" si="8"/>
        <v>6092</v>
      </c>
      <c r="G64">
        <f t="shared" si="9"/>
        <v>0.13003200000093784</v>
      </c>
      <c r="I64">
        <f t="shared" si="6"/>
        <v>0.13003200000093784</v>
      </c>
      <c r="O64">
        <f t="shared" ca="1" si="10"/>
        <v>0.14894279139179192</v>
      </c>
      <c r="Q64" s="1">
        <f t="shared" si="11"/>
        <v>30536.940999999999</v>
      </c>
      <c r="R64" s="1"/>
      <c r="S64" s="1"/>
      <c r="T64" s="1"/>
    </row>
    <row r="65" spans="1:20" x14ac:dyDescent="0.2">
      <c r="A65" s="59" t="s">
        <v>152</v>
      </c>
      <c r="B65" s="64" t="s">
        <v>26</v>
      </c>
      <c r="C65" s="59">
        <v>46679.582000000002</v>
      </c>
      <c r="D65" s="59" t="s">
        <v>67</v>
      </c>
      <c r="E65" s="40">
        <f t="shared" si="7"/>
        <v>6468.0350283831331</v>
      </c>
      <c r="F65">
        <f t="shared" si="8"/>
        <v>6468</v>
      </c>
      <c r="G65">
        <f t="shared" si="9"/>
        <v>0.10472799999843119</v>
      </c>
      <c r="I65">
        <f t="shared" si="6"/>
        <v>0.10472799999843119</v>
      </c>
      <c r="O65">
        <f t="shared" ca="1" si="10"/>
        <v>0.15400598938048493</v>
      </c>
      <c r="Q65" s="1">
        <f t="shared" si="11"/>
        <v>31661.082000000002</v>
      </c>
      <c r="R65" s="1"/>
      <c r="S65" s="1"/>
      <c r="T65" s="1"/>
    </row>
    <row r="66" spans="1:20" x14ac:dyDescent="0.2">
      <c r="A66" s="59" t="s">
        <v>152</v>
      </c>
      <c r="B66" s="64" t="s">
        <v>26</v>
      </c>
      <c r="C66" s="59">
        <v>46763.351000000002</v>
      </c>
      <c r="D66" s="59" t="s">
        <v>67</v>
      </c>
      <c r="E66" s="40">
        <f t="shared" si="7"/>
        <v>6496.0532529891607</v>
      </c>
      <c r="F66">
        <f t="shared" si="8"/>
        <v>6496</v>
      </c>
      <c r="G66">
        <f t="shared" si="9"/>
        <v>0.15921600000729086</v>
      </c>
      <c r="I66">
        <f t="shared" si="6"/>
        <v>0.15921600000729086</v>
      </c>
      <c r="O66">
        <f t="shared" ca="1" si="10"/>
        <v>0.15438303603921738</v>
      </c>
      <c r="Q66" s="1">
        <f t="shared" si="11"/>
        <v>31744.851000000002</v>
      </c>
      <c r="R66" s="1"/>
      <c r="S66" s="1"/>
      <c r="T66" s="1"/>
    </row>
    <row r="67" spans="1:20" x14ac:dyDescent="0.2">
      <c r="A67" s="59" t="s">
        <v>152</v>
      </c>
      <c r="B67" s="64" t="s">
        <v>26</v>
      </c>
      <c r="C67" s="59">
        <v>47029.523999999998</v>
      </c>
      <c r="D67" s="59" t="s">
        <v>67</v>
      </c>
      <c r="E67" s="40">
        <f t="shared" si="7"/>
        <v>6585.0801591007303</v>
      </c>
      <c r="F67">
        <f t="shared" si="8"/>
        <v>6585</v>
      </c>
      <c r="G67">
        <f t="shared" si="9"/>
        <v>0.2396599999992759</v>
      </c>
      <c r="I67">
        <f t="shared" si="6"/>
        <v>0.2396599999992759</v>
      </c>
      <c r="O67">
        <f t="shared" ca="1" si="10"/>
        <v>0.15558150577590268</v>
      </c>
      <c r="Q67" s="1">
        <f t="shared" si="11"/>
        <v>32011.023999999998</v>
      </c>
      <c r="R67" s="1"/>
      <c r="S67" s="1"/>
      <c r="T67" s="1"/>
    </row>
    <row r="68" spans="1:20" x14ac:dyDescent="0.2">
      <c r="A68" s="59" t="s">
        <v>152</v>
      </c>
      <c r="B68" s="64" t="s">
        <v>26</v>
      </c>
      <c r="C68" s="59">
        <v>48132.555999999997</v>
      </c>
      <c r="D68" s="59" t="s">
        <v>67</v>
      </c>
      <c r="E68" s="40">
        <f t="shared" si="7"/>
        <v>6954.011366631391</v>
      </c>
      <c r="F68">
        <f t="shared" si="8"/>
        <v>6954</v>
      </c>
      <c r="G68">
        <f t="shared" si="9"/>
        <v>3.3983999994234182E-2</v>
      </c>
      <c r="I68">
        <f t="shared" si="6"/>
        <v>3.3983999994234182E-2</v>
      </c>
      <c r="O68">
        <f t="shared" ca="1" si="10"/>
        <v>0.16055044209991257</v>
      </c>
      <c r="Q68" s="1">
        <f t="shared" si="11"/>
        <v>33114.055999999997</v>
      </c>
      <c r="R68" s="1"/>
      <c r="S68" s="1"/>
      <c r="T68" s="1"/>
    </row>
    <row r="69" spans="1:20" x14ac:dyDescent="0.2">
      <c r="A69" s="59" t="s">
        <v>225</v>
      </c>
      <c r="B69" s="64" t="s">
        <v>26</v>
      </c>
      <c r="C69" s="59">
        <v>48186.497000000003</v>
      </c>
      <c r="D69" s="59" t="s">
        <v>67</v>
      </c>
      <c r="E69" s="40">
        <f t="shared" si="7"/>
        <v>6972.0530175222202</v>
      </c>
      <c r="F69">
        <f t="shared" si="8"/>
        <v>6972</v>
      </c>
      <c r="G69">
        <f t="shared" si="9"/>
        <v>0.15851200000906829</v>
      </c>
      <c r="I69">
        <f t="shared" si="6"/>
        <v>0.15851200000906829</v>
      </c>
      <c r="O69">
        <f t="shared" ca="1" si="10"/>
        <v>0.16079282923766913</v>
      </c>
      <c r="Q69" s="1">
        <f t="shared" si="11"/>
        <v>33167.997000000003</v>
      </c>
      <c r="R69" s="1"/>
      <c r="S69" s="1"/>
      <c r="T69" s="1"/>
    </row>
    <row r="70" spans="1:20" x14ac:dyDescent="0.2">
      <c r="A70" s="10" t="s">
        <v>40</v>
      </c>
      <c r="B70" s="10"/>
      <c r="C70" s="8">
        <v>49938.518600000003</v>
      </c>
      <c r="D70" s="8"/>
      <c r="E70">
        <f t="shared" si="7"/>
        <v>7558.0518321602367</v>
      </c>
      <c r="F70">
        <f t="shared" si="8"/>
        <v>7558</v>
      </c>
      <c r="G70">
        <f t="shared" si="9"/>
        <v>0.15496800000983058</v>
      </c>
      <c r="J70">
        <f>+G70</f>
        <v>0.15496800000983058</v>
      </c>
      <c r="O70">
        <f t="shared" ca="1" si="10"/>
        <v>0.16868387716685557</v>
      </c>
      <c r="Q70" s="1">
        <f t="shared" si="11"/>
        <v>34920.018600000003</v>
      </c>
      <c r="R70" s="1"/>
      <c r="S70" s="1"/>
      <c r="T70" s="1"/>
    </row>
    <row r="71" spans="1:20" x14ac:dyDescent="0.2">
      <c r="A71" s="59" t="s">
        <v>237</v>
      </c>
      <c r="B71" s="64" t="s">
        <v>26</v>
      </c>
      <c r="C71" s="59">
        <v>51140.413</v>
      </c>
      <c r="D71" s="59" t="s">
        <v>67</v>
      </c>
      <c r="E71" s="40">
        <f t="shared" si="7"/>
        <v>7960.0495550878923</v>
      </c>
      <c r="F71">
        <f t="shared" si="8"/>
        <v>7960</v>
      </c>
      <c r="G71">
        <f t="shared" si="9"/>
        <v>0.1481599999970058</v>
      </c>
      <c r="I71">
        <f>+G71</f>
        <v>0.1481599999970058</v>
      </c>
      <c r="O71">
        <f t="shared" ca="1" si="10"/>
        <v>0.17409718991008583</v>
      </c>
      <c r="Q71" s="1">
        <f t="shared" si="11"/>
        <v>36121.913</v>
      </c>
      <c r="R71" s="1"/>
      <c r="S71" s="1"/>
      <c r="T71" s="1"/>
    </row>
    <row r="72" spans="1:20" x14ac:dyDescent="0.2">
      <c r="A72" s="59" t="s">
        <v>237</v>
      </c>
      <c r="B72" s="64" t="s">
        <v>26</v>
      </c>
      <c r="C72" s="59">
        <v>51185.284</v>
      </c>
      <c r="D72" s="59" t="s">
        <v>67</v>
      </c>
      <c r="E72" s="40">
        <f t="shared" si="7"/>
        <v>7975.057562301743</v>
      </c>
      <c r="F72">
        <f t="shared" si="8"/>
        <v>7975</v>
      </c>
      <c r="G72">
        <f t="shared" si="9"/>
        <v>0.17209999999613501</v>
      </c>
      <c r="I72">
        <f>+G72</f>
        <v>0.17209999999613501</v>
      </c>
      <c r="O72">
        <f t="shared" ca="1" si="10"/>
        <v>0.17429917919154964</v>
      </c>
      <c r="Q72" s="1">
        <f t="shared" si="11"/>
        <v>36166.784</v>
      </c>
      <c r="R72" s="1"/>
      <c r="S72" s="1"/>
      <c r="T72" s="1"/>
    </row>
    <row r="73" spans="1:20" x14ac:dyDescent="0.2">
      <c r="A73" s="38" t="s">
        <v>28</v>
      </c>
      <c r="B73" s="9"/>
      <c r="C73" s="8">
        <v>51391.553099999997</v>
      </c>
      <c r="D73" s="8">
        <v>5.0000000000000001E-4</v>
      </c>
      <c r="E73">
        <f t="shared" si="7"/>
        <v>8044.0484058486772</v>
      </c>
      <c r="F73">
        <f t="shared" si="8"/>
        <v>8044</v>
      </c>
      <c r="G73">
        <f t="shared" si="9"/>
        <v>0.14472399999795016</v>
      </c>
      <c r="J73">
        <f>+G73</f>
        <v>0.14472399999795016</v>
      </c>
      <c r="O73">
        <f t="shared" ca="1" si="10"/>
        <v>0.1752283298862832</v>
      </c>
      <c r="Q73" s="1">
        <f t="shared" si="11"/>
        <v>36373.053099999997</v>
      </c>
      <c r="R73" s="1"/>
      <c r="S73" s="1"/>
      <c r="T73" s="1"/>
    </row>
    <row r="74" spans="1:20" x14ac:dyDescent="0.2">
      <c r="A74" s="59" t="s">
        <v>237</v>
      </c>
      <c r="B74" s="64" t="s">
        <v>26</v>
      </c>
      <c r="C74" s="59">
        <v>51424.453999999998</v>
      </c>
      <c r="D74" s="59" t="s">
        <v>67</v>
      </c>
      <c r="E74" s="40">
        <f t="shared" si="7"/>
        <v>8055.0527726901155</v>
      </c>
      <c r="F74">
        <f t="shared" si="8"/>
        <v>8055</v>
      </c>
      <c r="G74">
        <f t="shared" si="9"/>
        <v>0.15777999999409076</v>
      </c>
      <c r="I74">
        <f>+G74</f>
        <v>0.15777999999409076</v>
      </c>
      <c r="O74">
        <f t="shared" ca="1" si="10"/>
        <v>0.17537645535935667</v>
      </c>
      <c r="Q74" s="1">
        <f t="shared" si="11"/>
        <v>36405.953999999998</v>
      </c>
      <c r="R74" s="1"/>
      <c r="S74" s="1"/>
      <c r="T74" s="1"/>
    </row>
    <row r="75" spans="1:20" x14ac:dyDescent="0.2">
      <c r="A75" s="59" t="s">
        <v>175</v>
      </c>
      <c r="B75" s="64" t="s">
        <v>26</v>
      </c>
      <c r="C75" s="59">
        <v>52264.578999999998</v>
      </c>
      <c r="D75" s="59" t="s">
        <v>67</v>
      </c>
      <c r="E75" s="40">
        <f t="shared" si="7"/>
        <v>8336.0494534089867</v>
      </c>
      <c r="F75">
        <f t="shared" si="8"/>
        <v>8336</v>
      </c>
      <c r="G75">
        <f t="shared" si="9"/>
        <v>0.14785599999595433</v>
      </c>
      <c r="K75">
        <f t="shared" ref="K75:K80" si="12">+G75</f>
        <v>0.14785599999595433</v>
      </c>
      <c r="O75">
        <f t="shared" ca="1" si="10"/>
        <v>0.17916038789877881</v>
      </c>
      <c r="Q75" s="1">
        <f t="shared" si="11"/>
        <v>37246.078999999998</v>
      </c>
      <c r="R75" s="1"/>
      <c r="S75" s="1"/>
      <c r="T75" s="1"/>
    </row>
    <row r="76" spans="1:20" x14ac:dyDescent="0.2">
      <c r="A76" s="67" t="s">
        <v>41</v>
      </c>
      <c r="B76" s="36"/>
      <c r="C76" s="69">
        <v>52524.694182219449</v>
      </c>
      <c r="D76" s="38">
        <v>4.0000000000000002E-4</v>
      </c>
      <c r="E76">
        <f t="shared" si="7"/>
        <v>8423.0502006885563</v>
      </c>
      <c r="F76">
        <f t="shared" si="8"/>
        <v>8423</v>
      </c>
      <c r="G76">
        <f t="shared" si="9"/>
        <v>0.15009021945297718</v>
      </c>
      <c r="K76">
        <f t="shared" si="12"/>
        <v>0.15009021945297718</v>
      </c>
      <c r="O76">
        <f t="shared" ca="1" si="10"/>
        <v>0.18033192573126894</v>
      </c>
      <c r="Q76" s="1">
        <f t="shared" si="11"/>
        <v>37506.194182219449</v>
      </c>
      <c r="R76" s="1"/>
      <c r="S76" s="1"/>
      <c r="T76" s="1"/>
    </row>
    <row r="77" spans="1:20" x14ac:dyDescent="0.2">
      <c r="A77" s="59" t="s">
        <v>175</v>
      </c>
      <c r="B77" s="64" t="s">
        <v>26</v>
      </c>
      <c r="C77" s="59">
        <v>52557.581400000003</v>
      </c>
      <c r="D77" s="59" t="s">
        <v>67</v>
      </c>
      <c r="E77" s="40">
        <f t="shared" si="7"/>
        <v>8434.049991236885</v>
      </c>
      <c r="F77">
        <f t="shared" si="8"/>
        <v>8434</v>
      </c>
      <c r="G77">
        <f t="shared" si="9"/>
        <v>0.14946400000917492</v>
      </c>
      <c r="K77">
        <f t="shared" si="12"/>
        <v>0.14946400000917492</v>
      </c>
      <c r="O77">
        <f t="shared" ca="1" si="10"/>
        <v>0.18048005120434241</v>
      </c>
      <c r="Q77" s="1">
        <f t="shared" si="11"/>
        <v>37539.081400000003</v>
      </c>
      <c r="R77" s="1"/>
      <c r="S77" s="1"/>
      <c r="T77" s="1"/>
    </row>
    <row r="78" spans="1:20" x14ac:dyDescent="0.2">
      <c r="A78" s="59" t="s">
        <v>175</v>
      </c>
      <c r="B78" s="64" t="s">
        <v>26</v>
      </c>
      <c r="C78" s="59">
        <v>52557.590100000001</v>
      </c>
      <c r="D78" s="59" t="s">
        <v>67</v>
      </c>
      <c r="E78" s="40">
        <f t="shared" si="7"/>
        <v>8434.0529011266299</v>
      </c>
      <c r="F78">
        <f t="shared" si="8"/>
        <v>8434</v>
      </c>
      <c r="G78">
        <f t="shared" si="9"/>
        <v>0.15816400000767317</v>
      </c>
      <c r="K78">
        <f t="shared" si="12"/>
        <v>0.15816400000767317</v>
      </c>
      <c r="O78">
        <f t="shared" ca="1" si="10"/>
        <v>0.18048005120434241</v>
      </c>
      <c r="Q78" s="1">
        <f t="shared" si="11"/>
        <v>37539.090100000001</v>
      </c>
      <c r="R78" s="1"/>
      <c r="S78" s="1"/>
      <c r="T78" s="1"/>
    </row>
    <row r="79" spans="1:20" x14ac:dyDescent="0.2">
      <c r="A79" s="59" t="s">
        <v>175</v>
      </c>
      <c r="B79" s="64" t="s">
        <v>26</v>
      </c>
      <c r="C79" s="59">
        <v>53672.792699999998</v>
      </c>
      <c r="D79" s="59" t="s">
        <v>67</v>
      </c>
      <c r="E79" s="40">
        <f t="shared" si="7"/>
        <v>8807.0548102818775</v>
      </c>
      <c r="F79">
        <f t="shared" si="8"/>
        <v>8807</v>
      </c>
      <c r="G79">
        <f t="shared" si="9"/>
        <v>0.16387199999735458</v>
      </c>
      <c r="K79">
        <f t="shared" si="12"/>
        <v>0.16387199999735458</v>
      </c>
      <c r="O79">
        <f t="shared" ca="1" si="10"/>
        <v>0.18550285133674266</v>
      </c>
      <c r="Q79" s="1">
        <f t="shared" si="11"/>
        <v>38654.292699999998</v>
      </c>
      <c r="R79" s="1"/>
      <c r="S79" s="1"/>
      <c r="T79" s="1"/>
    </row>
    <row r="80" spans="1:20" x14ac:dyDescent="0.2">
      <c r="A80" s="59" t="s">
        <v>175</v>
      </c>
      <c r="B80" s="64" t="s">
        <v>26</v>
      </c>
      <c r="C80" s="59">
        <v>54016.626199999999</v>
      </c>
      <c r="D80" s="59" t="s">
        <v>67</v>
      </c>
      <c r="E80" s="40">
        <f t="shared" si="7"/>
        <v>8922.056830481195</v>
      </c>
      <c r="F80">
        <f t="shared" si="8"/>
        <v>8922</v>
      </c>
      <c r="G80">
        <f t="shared" si="9"/>
        <v>0.16991199999756645</v>
      </c>
      <c r="K80">
        <f t="shared" si="12"/>
        <v>0.16991199999756645</v>
      </c>
      <c r="O80">
        <f t="shared" ca="1" si="10"/>
        <v>0.18705143582796524</v>
      </c>
      <c r="Q80" s="1">
        <f t="shared" si="11"/>
        <v>38998.126199999999</v>
      </c>
      <c r="R80" s="1"/>
      <c r="S80" s="1"/>
      <c r="T80" s="1"/>
    </row>
    <row r="81" spans="1:21" x14ac:dyDescent="0.2">
      <c r="A81" s="36" t="s">
        <v>42</v>
      </c>
      <c r="B81" s="37" t="s">
        <v>26</v>
      </c>
      <c r="C81" s="38">
        <v>54019.620199999998</v>
      </c>
      <c r="D81" s="38">
        <v>1.8E-3</v>
      </c>
      <c r="E81">
        <f t="shared" si="7"/>
        <v>8923.0582339176744</v>
      </c>
      <c r="F81">
        <f t="shared" si="8"/>
        <v>8923</v>
      </c>
      <c r="G81">
        <f t="shared" si="9"/>
        <v>0.17410799999925075</v>
      </c>
      <c r="J81">
        <f>+G81</f>
        <v>0.17410799999925075</v>
      </c>
      <c r="O81">
        <f t="shared" ca="1" si="10"/>
        <v>0.18706490178006283</v>
      </c>
      <c r="Q81" s="1">
        <f t="shared" si="11"/>
        <v>39001.120199999998</v>
      </c>
      <c r="R81" s="1"/>
      <c r="S81" s="1"/>
      <c r="T81" s="1"/>
    </row>
    <row r="82" spans="1:21" x14ac:dyDescent="0.2">
      <c r="A82" s="36" t="s">
        <v>42</v>
      </c>
      <c r="B82" s="37" t="s">
        <v>26</v>
      </c>
      <c r="C82" s="38">
        <v>54034.566400000003</v>
      </c>
      <c r="D82" s="38">
        <v>1.2999999999999999E-3</v>
      </c>
      <c r="E82" s="40">
        <f t="shared" si="7"/>
        <v>8928.057290712035</v>
      </c>
      <c r="F82">
        <f t="shared" si="8"/>
        <v>8928</v>
      </c>
      <c r="G82">
        <f t="shared" si="9"/>
        <v>0.17128800000500632</v>
      </c>
      <c r="J82">
        <f>+G82</f>
        <v>0.17128800000500632</v>
      </c>
      <c r="O82">
        <f t="shared" ca="1" si="10"/>
        <v>0.18713223154055075</v>
      </c>
      <c r="Q82" s="1">
        <f t="shared" si="11"/>
        <v>39016.066400000003</v>
      </c>
      <c r="R82" s="1"/>
      <c r="S82" s="1"/>
      <c r="T82" s="1"/>
    </row>
    <row r="83" spans="1:21" x14ac:dyDescent="0.2">
      <c r="A83" s="38" t="s">
        <v>46</v>
      </c>
      <c r="B83" s="39" t="s">
        <v>26</v>
      </c>
      <c r="C83" s="38">
        <v>54328.412929999999</v>
      </c>
      <c r="D83" s="38" t="s">
        <v>47</v>
      </c>
      <c r="E83" s="40">
        <f t="shared" si="7"/>
        <v>9026.3401647733426</v>
      </c>
      <c r="F83">
        <f t="shared" si="8"/>
        <v>9026.5</v>
      </c>
      <c r="O83">
        <f t="shared" ca="1" si="10"/>
        <v>0.18845862782216316</v>
      </c>
      <c r="Q83" s="1">
        <f t="shared" si="11"/>
        <v>39309.912929999999</v>
      </c>
      <c r="R83" s="1"/>
      <c r="S83" s="1"/>
      <c r="T83" s="1"/>
      <c r="U83" s="25">
        <v>-0.47787599999719532</v>
      </c>
    </row>
    <row r="84" spans="1:21" x14ac:dyDescent="0.2">
      <c r="A84" s="38" t="s">
        <v>45</v>
      </c>
      <c r="B84" s="39" t="s">
        <v>26</v>
      </c>
      <c r="C84" s="38">
        <v>54351.487000000197</v>
      </c>
      <c r="D84" s="38">
        <v>8.0000000000000002E-3</v>
      </c>
      <c r="E84" s="40">
        <f t="shared" si="7"/>
        <v>9034.0577509429386</v>
      </c>
      <c r="F84">
        <f t="shared" si="8"/>
        <v>9034</v>
      </c>
      <c r="G84">
        <f t="shared" ref="G84:G99" si="13">+C84-(C$7+F84*C$8)</f>
        <v>0.17266400020162109</v>
      </c>
      <c r="I84">
        <f>+G84</f>
        <v>0.17266400020162109</v>
      </c>
      <c r="O84">
        <f t="shared" ca="1" si="10"/>
        <v>0.18855962246289507</v>
      </c>
      <c r="Q84" s="1">
        <f t="shared" si="11"/>
        <v>39332.987000000197</v>
      </c>
      <c r="R84" s="1"/>
      <c r="S84" s="1"/>
      <c r="T84" s="1"/>
    </row>
    <row r="85" spans="1:21" x14ac:dyDescent="0.2">
      <c r="A85" s="43" t="s">
        <v>55</v>
      </c>
      <c r="B85" s="44" t="s">
        <v>26</v>
      </c>
      <c r="C85" s="42">
        <v>54381.388400000003</v>
      </c>
      <c r="D85" s="45">
        <v>2.9999999999999997E-4</v>
      </c>
      <c r="E85" s="40">
        <f t="shared" ref="E85:E99" si="14">+(C85-C$7)/C$8</f>
        <v>9044.0588747623606</v>
      </c>
      <c r="F85">
        <f t="shared" ref="F85:F116" si="15">ROUND(2*E85,0)/2</f>
        <v>9044</v>
      </c>
      <c r="G85">
        <f t="shared" si="13"/>
        <v>0.17602400000760099</v>
      </c>
      <c r="J85">
        <f>+G85</f>
        <v>0.17602400000760099</v>
      </c>
      <c r="O85">
        <f t="shared" ref="O85:O99" ca="1" si="16">+C$11+C$12*F85</f>
        <v>0.18869428198387095</v>
      </c>
      <c r="Q85" s="1">
        <f t="shared" ref="Q85:Q99" si="17">+C85-15018.5</f>
        <v>39362.888400000003</v>
      </c>
      <c r="R85" s="1"/>
      <c r="S85" s="1"/>
      <c r="T85" s="1"/>
    </row>
    <row r="86" spans="1:21" x14ac:dyDescent="0.2">
      <c r="A86" s="36" t="s">
        <v>51</v>
      </c>
      <c r="B86" s="39" t="s">
        <v>26</v>
      </c>
      <c r="C86" s="38">
        <v>55182.668100000003</v>
      </c>
      <c r="D86" s="38">
        <v>5.0000000000000001E-4</v>
      </c>
      <c r="E86" s="40">
        <f t="shared" si="14"/>
        <v>9312.0629646625675</v>
      </c>
      <c r="F86">
        <f t="shared" si="15"/>
        <v>9312</v>
      </c>
      <c r="G86">
        <f t="shared" si="13"/>
        <v>0.18825199999992037</v>
      </c>
      <c r="K86">
        <f>+C86-(C$7+F86*C$8)</f>
        <v>0.18825199999992037</v>
      </c>
      <c r="N86">
        <f>+K86</f>
        <v>0.18825199999992037</v>
      </c>
      <c r="O86">
        <f t="shared" ca="1" si="16"/>
        <v>0.19230315714602447</v>
      </c>
      <c r="Q86" s="1">
        <f t="shared" si="17"/>
        <v>40164.168100000003</v>
      </c>
      <c r="R86" s="1"/>
      <c r="S86" s="1"/>
      <c r="T86" s="1"/>
    </row>
    <row r="87" spans="1:21" x14ac:dyDescent="0.2">
      <c r="A87" s="36" t="s">
        <v>50</v>
      </c>
      <c r="B87" s="39" t="s">
        <v>26</v>
      </c>
      <c r="C87" s="38">
        <v>55436.806700000001</v>
      </c>
      <c r="D87" s="38">
        <v>2.9999999999999997E-4</v>
      </c>
      <c r="E87" s="40">
        <f t="shared" si="14"/>
        <v>9397.0647239752179</v>
      </c>
      <c r="F87">
        <f t="shared" si="15"/>
        <v>9397</v>
      </c>
      <c r="G87">
        <f t="shared" si="13"/>
        <v>0.19351199999800883</v>
      </c>
      <c r="K87">
        <f>+C87-(C$7+F87*C$8)</f>
        <v>0.19351199999800883</v>
      </c>
      <c r="N87">
        <f>+K87</f>
        <v>0.19351199999800883</v>
      </c>
      <c r="O87">
        <f t="shared" ca="1" si="16"/>
        <v>0.19344776307431943</v>
      </c>
      <c r="Q87" s="1">
        <f t="shared" si="17"/>
        <v>40418.306700000001</v>
      </c>
      <c r="R87" s="1"/>
      <c r="S87" s="1"/>
      <c r="T87" s="1"/>
    </row>
    <row r="88" spans="1:21" x14ac:dyDescent="0.2">
      <c r="A88" s="36" t="s">
        <v>50</v>
      </c>
      <c r="B88" s="39" t="s">
        <v>26</v>
      </c>
      <c r="C88" s="38">
        <v>55439.7958</v>
      </c>
      <c r="D88" s="38">
        <v>2.9999999999999997E-4</v>
      </c>
      <c r="E88" s="40">
        <f t="shared" si="14"/>
        <v>9398.0644885082766</v>
      </c>
      <c r="F88">
        <f t="shared" si="15"/>
        <v>9398</v>
      </c>
      <c r="G88">
        <f t="shared" si="13"/>
        <v>0.19280799999978626</v>
      </c>
      <c r="K88">
        <f>+C88-(C$7+F88*C$8)</f>
        <v>0.19280799999978626</v>
      </c>
      <c r="N88">
        <f>+K88</f>
        <v>0.19280799999978626</v>
      </c>
      <c r="O88">
        <f t="shared" ca="1" si="16"/>
        <v>0.19346122902641702</v>
      </c>
      <c r="Q88" s="1">
        <f t="shared" si="17"/>
        <v>40421.2958</v>
      </c>
      <c r="R88" s="1"/>
      <c r="S88" s="1"/>
      <c r="T88" s="1"/>
    </row>
    <row r="89" spans="1:21" x14ac:dyDescent="0.2">
      <c r="A89" s="36" t="s">
        <v>50</v>
      </c>
      <c r="B89" s="39" t="s">
        <v>26</v>
      </c>
      <c r="C89" s="38">
        <v>55448.765099999997</v>
      </c>
      <c r="D89" s="38">
        <v>2.0000000000000001E-4</v>
      </c>
      <c r="E89" s="40">
        <f t="shared" si="14"/>
        <v>9401.0644510476268</v>
      </c>
      <c r="F89">
        <f t="shared" si="15"/>
        <v>9401</v>
      </c>
      <c r="G89">
        <f t="shared" si="13"/>
        <v>0.19269599999825004</v>
      </c>
      <c r="K89">
        <f>+C89-(C$7+F89*C$8)</f>
        <v>0.19269599999825004</v>
      </c>
      <c r="N89">
        <f>+K89</f>
        <v>0.19269599999825004</v>
      </c>
      <c r="O89">
        <f t="shared" ca="1" si="16"/>
        <v>0.19350162688270978</v>
      </c>
      <c r="Q89" s="1">
        <f t="shared" si="17"/>
        <v>40430.265099999997</v>
      </c>
      <c r="R89" s="1"/>
      <c r="S89" s="1"/>
      <c r="T89" s="1"/>
    </row>
    <row r="90" spans="1:21" x14ac:dyDescent="0.2">
      <c r="A90" s="38" t="s">
        <v>52</v>
      </c>
      <c r="B90" s="39" t="s">
        <v>27</v>
      </c>
      <c r="C90" s="38">
        <v>55478.6633</v>
      </c>
      <c r="D90" s="38">
        <v>5.9999999999999995E-4</v>
      </c>
      <c r="E90" s="40">
        <f t="shared" si="14"/>
        <v>9411.0645045628407</v>
      </c>
      <c r="F90">
        <f t="shared" si="15"/>
        <v>9411</v>
      </c>
      <c r="G90">
        <f t="shared" si="13"/>
        <v>0.19285600000148406</v>
      </c>
      <c r="K90">
        <f>+C90-(C$7+F90*C$8)</f>
        <v>0.19285600000148406</v>
      </c>
      <c r="N90">
        <f>+K90</f>
        <v>0.19285600000148406</v>
      </c>
      <c r="O90">
        <f t="shared" ca="1" si="16"/>
        <v>0.19363628640368566</v>
      </c>
      <c r="Q90" s="1">
        <f t="shared" si="17"/>
        <v>40460.1633</v>
      </c>
      <c r="R90" s="1"/>
      <c r="S90" s="1"/>
      <c r="T90" s="1"/>
    </row>
    <row r="91" spans="1:21" x14ac:dyDescent="0.2">
      <c r="A91" s="71" t="s">
        <v>56</v>
      </c>
      <c r="B91" s="71"/>
      <c r="C91" s="72">
        <v>55514.542500000003</v>
      </c>
      <c r="D91" s="72">
        <v>3.0000000000000001E-3</v>
      </c>
      <c r="E91" s="40">
        <f t="shared" si="14"/>
        <v>9423.065023660416</v>
      </c>
      <c r="F91">
        <f t="shared" si="15"/>
        <v>9423</v>
      </c>
      <c r="G91">
        <f t="shared" si="13"/>
        <v>0.19440800000302261</v>
      </c>
      <c r="J91">
        <f>+G91</f>
        <v>0.19440800000302261</v>
      </c>
      <c r="O91">
        <f t="shared" ca="1" si="16"/>
        <v>0.19379787782885671</v>
      </c>
      <c r="Q91" s="1">
        <f t="shared" si="17"/>
        <v>40496.042500000003</v>
      </c>
      <c r="R91" s="1"/>
      <c r="S91" s="1"/>
      <c r="T91" s="1"/>
    </row>
    <row r="92" spans="1:21" x14ac:dyDescent="0.2">
      <c r="A92" s="71" t="s">
        <v>53</v>
      </c>
      <c r="B92" s="73" t="s">
        <v>26</v>
      </c>
      <c r="C92" s="72">
        <v>56133.434800000003</v>
      </c>
      <c r="D92" s="72">
        <v>5.7000000000000002E-3</v>
      </c>
      <c r="E92" s="40">
        <f t="shared" si="14"/>
        <v>9630.065984258501</v>
      </c>
      <c r="F92">
        <f t="shared" si="15"/>
        <v>9630</v>
      </c>
      <c r="G92">
        <f t="shared" si="13"/>
        <v>0.19728000000759494</v>
      </c>
      <c r="J92">
        <f>+G92</f>
        <v>0.19728000000759494</v>
      </c>
      <c r="O92">
        <f t="shared" ca="1" si="16"/>
        <v>0.19658532991305736</v>
      </c>
      <c r="Q92" s="1">
        <f t="shared" si="17"/>
        <v>41114.934800000003</v>
      </c>
      <c r="R92" s="1"/>
      <c r="S92" s="1"/>
      <c r="T92" s="1"/>
    </row>
    <row r="93" spans="1:21" x14ac:dyDescent="0.2">
      <c r="A93" s="77" t="s">
        <v>331</v>
      </c>
      <c r="B93" s="78" t="s">
        <v>26</v>
      </c>
      <c r="C93" s="79">
        <v>57236.679199999999</v>
      </c>
      <c r="D93" s="79">
        <v>2.0000000000000001E-4</v>
      </c>
      <c r="E93" s="40">
        <f t="shared" si="14"/>
        <v>9999.0682332353554</v>
      </c>
      <c r="F93">
        <f t="shared" si="15"/>
        <v>9999</v>
      </c>
      <c r="G93">
        <f t="shared" si="13"/>
        <v>0.20400399999925867</v>
      </c>
      <c r="K93">
        <f t="shared" ref="K93:K99" si="18">+G93</f>
        <v>0.20400399999925867</v>
      </c>
      <c r="O93">
        <f t="shared" ca="1" si="16"/>
        <v>0.20155426623706724</v>
      </c>
      <c r="Q93" s="1">
        <f t="shared" si="17"/>
        <v>42218.179199999999</v>
      </c>
    </row>
    <row r="94" spans="1:21" x14ac:dyDescent="0.2">
      <c r="A94" s="74" t="s">
        <v>1</v>
      </c>
      <c r="B94" s="75" t="s">
        <v>26</v>
      </c>
      <c r="C94" s="76">
        <v>57329.361900000004</v>
      </c>
      <c r="D94" s="76">
        <v>3.0000000000000001E-3</v>
      </c>
      <c r="E94" s="40">
        <f t="shared" si="14"/>
        <v>10030.067823843972</v>
      </c>
      <c r="F94">
        <f t="shared" si="15"/>
        <v>10030</v>
      </c>
      <c r="G94">
        <f t="shared" si="13"/>
        <v>0.20278000000689644</v>
      </c>
      <c r="K94">
        <f t="shared" si="18"/>
        <v>0.20278000000689644</v>
      </c>
      <c r="O94">
        <f t="shared" ca="1" si="16"/>
        <v>0.20197171075209247</v>
      </c>
      <c r="Q94" s="1">
        <f t="shared" si="17"/>
        <v>42310.861900000004</v>
      </c>
    </row>
    <row r="95" spans="1:21" x14ac:dyDescent="0.2">
      <c r="A95" s="80" t="s">
        <v>332</v>
      </c>
      <c r="B95" s="2"/>
      <c r="C95" s="8">
        <v>58369.816400000003</v>
      </c>
      <c r="D95" s="72">
        <v>2.9999999999999997E-4</v>
      </c>
      <c r="E95" s="40">
        <f t="shared" si="14"/>
        <v>10378.068729588964</v>
      </c>
      <c r="F95">
        <f t="shared" si="15"/>
        <v>10378</v>
      </c>
      <c r="G95">
        <f t="shared" si="13"/>
        <v>0.20548799999960465</v>
      </c>
      <c r="K95">
        <f t="shared" si="18"/>
        <v>0.20548799999960465</v>
      </c>
      <c r="O95">
        <f t="shared" ca="1" si="16"/>
        <v>0.206657862082053</v>
      </c>
      <c r="Q95" s="1">
        <f t="shared" si="17"/>
        <v>43351.316400000003</v>
      </c>
    </row>
    <row r="96" spans="1:21" x14ac:dyDescent="0.2">
      <c r="A96" s="86" t="s">
        <v>334</v>
      </c>
      <c r="B96" s="87" t="s">
        <v>26</v>
      </c>
      <c r="C96" s="88">
        <v>58369.816400000003</v>
      </c>
      <c r="D96" s="86">
        <v>2.9999999999999997E-4</v>
      </c>
      <c r="E96" s="40">
        <f t="shared" si="14"/>
        <v>10378.068729588964</v>
      </c>
      <c r="F96">
        <f t="shared" si="15"/>
        <v>10378</v>
      </c>
      <c r="G96">
        <f t="shared" si="13"/>
        <v>0.20548799999960465</v>
      </c>
      <c r="K96">
        <f t="shared" si="18"/>
        <v>0.20548799999960465</v>
      </c>
      <c r="O96">
        <f t="shared" ca="1" si="16"/>
        <v>0.206657862082053</v>
      </c>
      <c r="Q96" s="1">
        <f t="shared" si="17"/>
        <v>43351.316400000003</v>
      </c>
    </row>
    <row r="97" spans="1:17" x14ac:dyDescent="0.2">
      <c r="A97" s="81" t="s">
        <v>0</v>
      </c>
      <c r="B97" s="82" t="s">
        <v>26</v>
      </c>
      <c r="C97" s="81">
        <v>58372.806299999997</v>
      </c>
      <c r="D97" s="81">
        <v>4.0000000000000002E-4</v>
      </c>
      <c r="E97" s="40">
        <f t="shared" si="14"/>
        <v>10379.06876169809</v>
      </c>
      <c r="F97">
        <f t="shared" si="15"/>
        <v>10379</v>
      </c>
      <c r="G97">
        <f t="shared" si="13"/>
        <v>0.2055839999957243</v>
      </c>
      <c r="K97">
        <f t="shared" si="18"/>
        <v>0.2055839999957243</v>
      </c>
      <c r="O97">
        <f t="shared" ca="1" si="16"/>
        <v>0.20667132803415059</v>
      </c>
      <c r="Q97" s="1">
        <f t="shared" si="17"/>
        <v>43354.306299999997</v>
      </c>
    </row>
    <row r="98" spans="1:17" x14ac:dyDescent="0.2">
      <c r="A98" s="83" t="s">
        <v>333</v>
      </c>
      <c r="B98" s="84" t="s">
        <v>26</v>
      </c>
      <c r="C98" s="85">
        <v>58725.606399999997</v>
      </c>
      <c r="D98" s="85">
        <v>2.9999999999999997E-4</v>
      </c>
      <c r="E98" s="40">
        <f t="shared" si="14"/>
        <v>10497.069841367527</v>
      </c>
      <c r="F98">
        <f t="shared" si="15"/>
        <v>10497</v>
      </c>
      <c r="G98">
        <f t="shared" si="13"/>
        <v>0.20881199999712408</v>
      </c>
      <c r="K98">
        <f t="shared" si="18"/>
        <v>0.20881199999712408</v>
      </c>
      <c r="O98">
        <f t="shared" ca="1" si="16"/>
        <v>0.20826031038166595</v>
      </c>
      <c r="Q98" s="1">
        <f t="shared" si="17"/>
        <v>43707.106399999997</v>
      </c>
    </row>
    <row r="99" spans="1:17" x14ac:dyDescent="0.2">
      <c r="A99" s="89" t="s">
        <v>335</v>
      </c>
      <c r="B99" s="87" t="s">
        <v>26</v>
      </c>
      <c r="C99" s="88">
        <v>58725.606399999997</v>
      </c>
      <c r="D99" s="86">
        <v>2.9999999999999997E-4</v>
      </c>
      <c r="E99" s="40">
        <f t="shared" si="14"/>
        <v>10497.069841367527</v>
      </c>
      <c r="F99">
        <f t="shared" si="15"/>
        <v>10497</v>
      </c>
      <c r="G99">
        <f t="shared" si="13"/>
        <v>0.20881199999712408</v>
      </c>
      <c r="K99">
        <f t="shared" si="18"/>
        <v>0.20881199999712408</v>
      </c>
      <c r="O99">
        <f t="shared" ca="1" si="16"/>
        <v>0.20826031038166595</v>
      </c>
      <c r="Q99" s="1">
        <f t="shared" si="17"/>
        <v>43707.106399999997</v>
      </c>
    </row>
    <row r="100" spans="1:17" x14ac:dyDescent="0.2">
      <c r="B100" s="2"/>
    </row>
    <row r="101" spans="1:17" x14ac:dyDescent="0.2">
      <c r="B101" s="2"/>
    </row>
    <row r="102" spans="1:17" x14ac:dyDescent="0.2">
      <c r="B102" s="2"/>
    </row>
    <row r="103" spans="1:17" x14ac:dyDescent="0.2">
      <c r="B103" s="2"/>
    </row>
    <row r="104" spans="1:17" x14ac:dyDescent="0.2">
      <c r="B104" s="2"/>
    </row>
    <row r="105" spans="1:17" x14ac:dyDescent="0.2">
      <c r="B105" s="2"/>
    </row>
    <row r="106" spans="1:17" x14ac:dyDescent="0.2">
      <c r="B106" s="2"/>
    </row>
    <row r="107" spans="1:17" x14ac:dyDescent="0.2">
      <c r="B107" s="2"/>
    </row>
    <row r="108" spans="1:17" x14ac:dyDescent="0.2">
      <c r="B108" s="2"/>
    </row>
    <row r="109" spans="1:17" x14ac:dyDescent="0.2">
      <c r="B109" s="2"/>
    </row>
    <row r="110" spans="1:17" x14ac:dyDescent="0.2">
      <c r="B110" s="2"/>
    </row>
    <row r="111" spans="1:17" x14ac:dyDescent="0.2">
      <c r="B111" s="2"/>
    </row>
    <row r="112" spans="1:17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2:2" x14ac:dyDescent="0.2">
      <c r="B161" s="2"/>
    </row>
    <row r="162" spans="2:2" x14ac:dyDescent="0.2">
      <c r="B162" s="2"/>
    </row>
    <row r="163" spans="2:2" x14ac:dyDescent="0.2">
      <c r="B163" s="2"/>
    </row>
    <row r="164" spans="2:2" x14ac:dyDescent="0.2">
      <c r="B164" s="2"/>
    </row>
    <row r="165" spans="2:2" x14ac:dyDescent="0.2">
      <c r="B165" s="2"/>
    </row>
    <row r="166" spans="2:2" x14ac:dyDescent="0.2">
      <c r="B166" s="2"/>
    </row>
    <row r="167" spans="2:2" x14ac:dyDescent="0.2">
      <c r="B167" s="2"/>
    </row>
    <row r="168" spans="2:2" x14ac:dyDescent="0.2">
      <c r="B168" s="2"/>
    </row>
    <row r="169" spans="2:2" x14ac:dyDescent="0.2">
      <c r="B169" s="2"/>
    </row>
    <row r="170" spans="2:2" x14ac:dyDescent="0.2">
      <c r="B170" s="2"/>
    </row>
    <row r="171" spans="2:2" x14ac:dyDescent="0.2">
      <c r="B171" s="2"/>
    </row>
    <row r="172" spans="2:2" x14ac:dyDescent="0.2">
      <c r="B172" s="2"/>
    </row>
    <row r="173" spans="2:2" x14ac:dyDescent="0.2">
      <c r="B173" s="2"/>
    </row>
    <row r="174" spans="2:2" x14ac:dyDescent="0.2">
      <c r="B174" s="2"/>
    </row>
    <row r="175" spans="2:2" x14ac:dyDescent="0.2">
      <c r="B175" s="2"/>
    </row>
    <row r="176" spans="2:2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</sheetData>
  <protectedRanges>
    <protectedRange sqref="A97:D97" name="Range1"/>
  </protectedRanges>
  <sortState xmlns:xlrd2="http://schemas.microsoft.com/office/spreadsheetml/2017/richdata2" ref="A21:U99">
    <sortCondition ref="C21:C99"/>
  </sortState>
  <phoneticPr fontId="8" type="noConversion"/>
  <hyperlinks>
    <hyperlink ref="H2463" r:id="rId1" display="http://vsolj.cetus-net.org/bulletin.html" xr:uid="{00000000-0004-0000-0000-000000000000}"/>
    <hyperlink ref="H64802" r:id="rId2" display="http://vsolj.cetus-net.org/bulletin.html" xr:uid="{00000000-0004-0000-0000-000001000000}"/>
    <hyperlink ref="H64795" r:id="rId3" display="https://www.aavso.org/ejaavso" xr:uid="{00000000-0004-0000-0000-000002000000}"/>
    <hyperlink ref="I64802" r:id="rId4" display="http://vsolj.cetus-net.org/bulletin.html" xr:uid="{00000000-0004-0000-0000-000003000000}"/>
    <hyperlink ref="AQ58453" r:id="rId5" display="http://cdsbib.u-strasbg.fr/cgi-bin/cdsbib?1990RMxAA..21..381G" xr:uid="{00000000-0004-0000-0000-000004000000}"/>
    <hyperlink ref="H64799" r:id="rId6" display="https://www.aavso.org/ejaavso" xr:uid="{00000000-0004-0000-0000-000005000000}"/>
    <hyperlink ref="AP5817" r:id="rId7" display="http://cdsbib.u-strasbg.fr/cgi-bin/cdsbib?1990RMxAA..21..381G" xr:uid="{00000000-0004-0000-0000-000006000000}"/>
    <hyperlink ref="AP5820" r:id="rId8" display="http://cdsbib.u-strasbg.fr/cgi-bin/cdsbib?1990RMxAA..21..381G" xr:uid="{00000000-0004-0000-0000-000007000000}"/>
    <hyperlink ref="AP5818" r:id="rId9" display="http://cdsbib.u-strasbg.fr/cgi-bin/cdsbib?1990RMxAA..21..381G" xr:uid="{00000000-0004-0000-0000-000008000000}"/>
    <hyperlink ref="AP5802" r:id="rId10" display="http://cdsbib.u-strasbg.fr/cgi-bin/cdsbib?1990RMxAA..21..381G" xr:uid="{00000000-0004-0000-0000-000009000000}"/>
    <hyperlink ref="AQ6031" r:id="rId11" display="http://cdsbib.u-strasbg.fr/cgi-bin/cdsbib?1990RMxAA..21..381G" xr:uid="{00000000-0004-0000-0000-00000A000000}"/>
    <hyperlink ref="AQ6035" r:id="rId12" display="http://cdsbib.u-strasbg.fr/cgi-bin/cdsbib?1990RMxAA..21..381G" xr:uid="{00000000-0004-0000-0000-00000B000000}"/>
    <hyperlink ref="AQ179" r:id="rId13" display="http://cdsbib.u-strasbg.fr/cgi-bin/cdsbib?1990RMxAA..21..381G" xr:uid="{00000000-0004-0000-0000-00000C000000}"/>
    <hyperlink ref="I2923" r:id="rId14" display="http://vsolj.cetus-net.org/bulletin.html" xr:uid="{00000000-0004-0000-0000-00000D000000}"/>
    <hyperlink ref="H2923" r:id="rId15" display="http://vsolj.cetus-net.org/bulletin.html" xr:uid="{00000000-0004-0000-0000-00000E000000}"/>
    <hyperlink ref="AQ840" r:id="rId16" display="http://cdsbib.u-strasbg.fr/cgi-bin/cdsbib?1990RMxAA..21..381G" xr:uid="{00000000-0004-0000-0000-00000F000000}"/>
    <hyperlink ref="AQ839" r:id="rId17" display="http://cdsbib.u-strasbg.fr/cgi-bin/cdsbib?1990RMxAA..21..381G" xr:uid="{00000000-0004-0000-0000-000010000000}"/>
    <hyperlink ref="AP4093" r:id="rId18" display="http://cdsbib.u-strasbg.fr/cgi-bin/cdsbib?1990RMxAA..21..381G" xr:uid="{00000000-0004-0000-0000-000011000000}"/>
    <hyperlink ref="AP4111" r:id="rId19" display="http://cdsbib.u-strasbg.fr/cgi-bin/cdsbib?1990RMxAA..21..381G" xr:uid="{00000000-0004-0000-0000-000012000000}"/>
    <hyperlink ref="AP4112" r:id="rId20" display="http://cdsbib.u-strasbg.fr/cgi-bin/cdsbib?1990RMxAA..21..381G" xr:uid="{00000000-0004-0000-0000-000013000000}"/>
    <hyperlink ref="AP410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6"/>
  <sheetViews>
    <sheetView topLeftCell="A42" workbookViewId="0">
      <selection activeCell="A23" sqref="A23:D8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6" t="s">
        <v>57</v>
      </c>
      <c r="I1" s="47" t="s">
        <v>58</v>
      </c>
      <c r="J1" s="48" t="s">
        <v>59</v>
      </c>
    </row>
    <row r="2" spans="1:16" x14ac:dyDescent="0.2">
      <c r="I2" s="49" t="s">
        <v>60</v>
      </c>
      <c r="J2" s="50" t="s">
        <v>61</v>
      </c>
    </row>
    <row r="3" spans="1:16" x14ac:dyDescent="0.2">
      <c r="A3" s="51" t="s">
        <v>62</v>
      </c>
      <c r="I3" s="49" t="s">
        <v>63</v>
      </c>
      <c r="J3" s="50" t="s">
        <v>64</v>
      </c>
    </row>
    <row r="4" spans="1:16" x14ac:dyDescent="0.2">
      <c r="I4" s="49" t="s">
        <v>65</v>
      </c>
      <c r="J4" s="50" t="s">
        <v>64</v>
      </c>
    </row>
    <row r="5" spans="1:16" ht="13.5" thickBot="1" x14ac:dyDescent="0.25">
      <c r="I5" s="52" t="s">
        <v>66</v>
      </c>
      <c r="J5" s="53" t="s">
        <v>67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BAVM 90 </v>
      </c>
      <c r="B11" s="2" t="str">
        <f t="shared" ref="B11:B42" si="1">IF(H11=INT(H11),"I","II")</f>
        <v>I</v>
      </c>
      <c r="C11" s="8">
        <f t="shared" ref="C11:C42" si="2">1*G11</f>
        <v>49938.518600000003</v>
      </c>
      <c r="D11" s="10" t="str">
        <f t="shared" ref="D11:D42" si="3">VLOOKUP(F11,I$1:J$5,2,FALSE)</f>
        <v>vis</v>
      </c>
      <c r="E11" s="54">
        <f>VLOOKUP(C11,Active!C$21:E$971,3,FALSE)</f>
        <v>7558.0518321602367</v>
      </c>
      <c r="F11" s="2" t="s">
        <v>66</v>
      </c>
      <c r="G11" s="10" t="str">
        <f t="shared" ref="G11:G42" si="4">MID(I11,3,LEN(I11)-3)</f>
        <v>49938.5186</v>
      </c>
      <c r="H11" s="8">
        <f t="shared" ref="H11:H42" si="5">1*K11</f>
        <v>7558</v>
      </c>
      <c r="I11" s="55" t="s">
        <v>226</v>
      </c>
      <c r="J11" s="56" t="s">
        <v>227</v>
      </c>
      <c r="K11" s="55">
        <v>7558</v>
      </c>
      <c r="L11" s="55" t="s">
        <v>228</v>
      </c>
      <c r="M11" s="56" t="s">
        <v>229</v>
      </c>
      <c r="N11" s="56" t="s">
        <v>230</v>
      </c>
      <c r="O11" s="57" t="s">
        <v>231</v>
      </c>
      <c r="P11" s="58" t="s">
        <v>232</v>
      </c>
    </row>
    <row r="12" spans="1:16" ht="12.75" customHeight="1" thickBot="1" x14ac:dyDescent="0.25">
      <c r="A12" s="8" t="str">
        <f t="shared" si="0"/>
        <v>BAVM 152 </v>
      </c>
      <c r="B12" s="2" t="str">
        <f t="shared" si="1"/>
        <v>I</v>
      </c>
      <c r="C12" s="8">
        <f t="shared" si="2"/>
        <v>51391.553099999997</v>
      </c>
      <c r="D12" s="10" t="str">
        <f t="shared" si="3"/>
        <v>vis</v>
      </c>
      <c r="E12" s="54">
        <f>VLOOKUP(C12,Active!C$21:E$971,3,FALSE)</f>
        <v>8044.0484058486772</v>
      </c>
      <c r="F12" s="2" t="s">
        <v>66</v>
      </c>
      <c r="G12" s="10" t="str">
        <f t="shared" si="4"/>
        <v>51391.5531</v>
      </c>
      <c r="H12" s="8">
        <f t="shared" si="5"/>
        <v>8044</v>
      </c>
      <c r="I12" s="55" t="s">
        <v>241</v>
      </c>
      <c r="J12" s="56" t="s">
        <v>242</v>
      </c>
      <c r="K12" s="55">
        <v>8044</v>
      </c>
      <c r="L12" s="55" t="s">
        <v>243</v>
      </c>
      <c r="M12" s="56" t="s">
        <v>229</v>
      </c>
      <c r="N12" s="56" t="s">
        <v>230</v>
      </c>
      <c r="O12" s="57" t="s">
        <v>231</v>
      </c>
      <c r="P12" s="58" t="s">
        <v>244</v>
      </c>
    </row>
    <row r="13" spans="1:16" ht="12.75" customHeight="1" thickBot="1" x14ac:dyDescent="0.25">
      <c r="A13" s="8" t="str">
        <f t="shared" si="0"/>
        <v>BAVM 183 </v>
      </c>
      <c r="B13" s="2" t="str">
        <f t="shared" si="1"/>
        <v>I</v>
      </c>
      <c r="C13" s="8">
        <f t="shared" si="2"/>
        <v>54019.620199999998</v>
      </c>
      <c r="D13" s="10" t="str">
        <f t="shared" si="3"/>
        <v>vis</v>
      </c>
      <c r="E13" s="54">
        <f>VLOOKUP(C13,Active!C$21:E$971,3,FALSE)</f>
        <v>8923.0582339176744</v>
      </c>
      <c r="F13" s="2" t="s">
        <v>66</v>
      </c>
      <c r="G13" s="10" t="str">
        <f t="shared" si="4"/>
        <v>54019.6202</v>
      </c>
      <c r="H13" s="8">
        <f t="shared" si="5"/>
        <v>8923</v>
      </c>
      <c r="I13" s="55" t="s">
        <v>272</v>
      </c>
      <c r="J13" s="56" t="s">
        <v>273</v>
      </c>
      <c r="K13" s="55">
        <v>8923</v>
      </c>
      <c r="L13" s="55" t="s">
        <v>274</v>
      </c>
      <c r="M13" s="56" t="s">
        <v>251</v>
      </c>
      <c r="N13" s="56" t="s">
        <v>275</v>
      </c>
      <c r="O13" s="57" t="s">
        <v>276</v>
      </c>
      <c r="P13" s="58" t="s">
        <v>277</v>
      </c>
    </row>
    <row r="14" spans="1:16" ht="12.75" customHeight="1" thickBot="1" x14ac:dyDescent="0.25">
      <c r="A14" s="8" t="str">
        <f t="shared" si="0"/>
        <v>BAVM 183 </v>
      </c>
      <c r="B14" s="2" t="str">
        <f t="shared" si="1"/>
        <v>I</v>
      </c>
      <c r="C14" s="8">
        <f t="shared" si="2"/>
        <v>54034.566400000003</v>
      </c>
      <c r="D14" s="10" t="str">
        <f t="shared" si="3"/>
        <v>vis</v>
      </c>
      <c r="E14" s="54">
        <f>VLOOKUP(C14,Active!C$21:E$971,3,FALSE)</f>
        <v>8928.057290712035</v>
      </c>
      <c r="F14" s="2" t="s">
        <v>66</v>
      </c>
      <c r="G14" s="10" t="str">
        <f t="shared" si="4"/>
        <v>54034.5664</v>
      </c>
      <c r="H14" s="8">
        <f t="shared" si="5"/>
        <v>8928</v>
      </c>
      <c r="I14" s="55" t="s">
        <v>278</v>
      </c>
      <c r="J14" s="56" t="s">
        <v>279</v>
      </c>
      <c r="K14" s="55" t="s">
        <v>280</v>
      </c>
      <c r="L14" s="55" t="s">
        <v>281</v>
      </c>
      <c r="M14" s="56" t="s">
        <v>251</v>
      </c>
      <c r="N14" s="56" t="s">
        <v>275</v>
      </c>
      <c r="O14" s="57" t="s">
        <v>276</v>
      </c>
      <c r="P14" s="58" t="s">
        <v>277</v>
      </c>
    </row>
    <row r="15" spans="1:16" ht="12.75" customHeight="1" thickBot="1" x14ac:dyDescent="0.25">
      <c r="A15" s="8" t="str">
        <f t="shared" si="0"/>
        <v>BAVM 234 </v>
      </c>
      <c r="B15" s="2" t="str">
        <f t="shared" si="1"/>
        <v>I</v>
      </c>
      <c r="C15" s="8">
        <f t="shared" si="2"/>
        <v>54381.388400000003</v>
      </c>
      <c r="D15" s="10" t="str">
        <f t="shared" si="3"/>
        <v>vis</v>
      </c>
      <c r="E15" s="54">
        <f>VLOOKUP(C15,Active!C$21:E$971,3,FALSE)</f>
        <v>9044.0588747623606</v>
      </c>
      <c r="F15" s="2" t="s">
        <v>66</v>
      </c>
      <c r="G15" s="10" t="str">
        <f t="shared" si="4"/>
        <v>54381.3884</v>
      </c>
      <c r="H15" s="8">
        <f t="shared" si="5"/>
        <v>9044</v>
      </c>
      <c r="I15" s="55" t="s">
        <v>288</v>
      </c>
      <c r="J15" s="56" t="s">
        <v>289</v>
      </c>
      <c r="K15" s="55" t="s">
        <v>290</v>
      </c>
      <c r="L15" s="55" t="s">
        <v>291</v>
      </c>
      <c r="M15" s="56" t="s">
        <v>251</v>
      </c>
      <c r="N15" s="56" t="s">
        <v>230</v>
      </c>
      <c r="O15" s="57" t="s">
        <v>292</v>
      </c>
      <c r="P15" s="58" t="s">
        <v>293</v>
      </c>
    </row>
    <row r="16" spans="1:16" ht="12.75" customHeight="1" thickBot="1" x14ac:dyDescent="0.25">
      <c r="A16" s="8" t="str">
        <f t="shared" si="0"/>
        <v> JAAVSO 38;120 </v>
      </c>
      <c r="B16" s="2" t="str">
        <f t="shared" si="1"/>
        <v>I</v>
      </c>
      <c r="C16" s="8">
        <f t="shared" si="2"/>
        <v>55182.668100000003</v>
      </c>
      <c r="D16" s="10" t="str">
        <f t="shared" si="3"/>
        <v>vis</v>
      </c>
      <c r="E16" s="54">
        <f>VLOOKUP(C16,Active!C$21:E$971,3,FALSE)</f>
        <v>9312.0629646625675</v>
      </c>
      <c r="F16" s="2" t="s">
        <v>66</v>
      </c>
      <c r="G16" s="10" t="str">
        <f t="shared" si="4"/>
        <v>55182.6681</v>
      </c>
      <c r="H16" s="8">
        <f t="shared" si="5"/>
        <v>9312</v>
      </c>
      <c r="I16" s="55" t="s">
        <v>294</v>
      </c>
      <c r="J16" s="56" t="s">
        <v>295</v>
      </c>
      <c r="K16" s="55" t="s">
        <v>296</v>
      </c>
      <c r="L16" s="55" t="s">
        <v>297</v>
      </c>
      <c r="M16" s="56" t="s">
        <v>251</v>
      </c>
      <c r="N16" s="56" t="s">
        <v>252</v>
      </c>
      <c r="O16" s="57" t="s">
        <v>298</v>
      </c>
      <c r="P16" s="57" t="s">
        <v>299</v>
      </c>
    </row>
    <row r="17" spans="1:16" ht="12.75" customHeight="1" thickBot="1" x14ac:dyDescent="0.25">
      <c r="A17" s="8" t="str">
        <f t="shared" si="0"/>
        <v> JAAVSO 39;94 </v>
      </c>
      <c r="B17" s="2" t="str">
        <f t="shared" si="1"/>
        <v>I</v>
      </c>
      <c r="C17" s="8">
        <f t="shared" si="2"/>
        <v>55436.806700000001</v>
      </c>
      <c r="D17" s="10" t="str">
        <f t="shared" si="3"/>
        <v>vis</v>
      </c>
      <c r="E17" s="54">
        <f>VLOOKUP(C17,Active!C$21:E$971,3,FALSE)</f>
        <v>9397.0647239752179</v>
      </c>
      <c r="F17" s="2" t="s">
        <v>66</v>
      </c>
      <c r="G17" s="10" t="str">
        <f t="shared" si="4"/>
        <v>55436.8067</v>
      </c>
      <c r="H17" s="8">
        <f t="shared" si="5"/>
        <v>9397</v>
      </c>
      <c r="I17" s="55" t="s">
        <v>300</v>
      </c>
      <c r="J17" s="56" t="s">
        <v>301</v>
      </c>
      <c r="K17" s="55" t="s">
        <v>302</v>
      </c>
      <c r="L17" s="55" t="s">
        <v>303</v>
      </c>
      <c r="M17" s="56" t="s">
        <v>251</v>
      </c>
      <c r="N17" s="56" t="s">
        <v>252</v>
      </c>
      <c r="O17" s="57" t="s">
        <v>304</v>
      </c>
      <c r="P17" s="57" t="s">
        <v>305</v>
      </c>
    </row>
    <row r="18" spans="1:16" ht="12.75" customHeight="1" thickBot="1" x14ac:dyDescent="0.25">
      <c r="A18" s="8" t="str">
        <f t="shared" si="0"/>
        <v> JAAVSO 39;94 </v>
      </c>
      <c r="B18" s="2" t="str">
        <f t="shared" si="1"/>
        <v>I</v>
      </c>
      <c r="C18" s="8">
        <f t="shared" si="2"/>
        <v>55439.7958</v>
      </c>
      <c r="D18" s="10" t="str">
        <f t="shared" si="3"/>
        <v>vis</v>
      </c>
      <c r="E18" s="54">
        <f>VLOOKUP(C18,Active!C$21:E$971,3,FALSE)</f>
        <v>9398.0644885082766</v>
      </c>
      <c r="F18" s="2" t="s">
        <v>66</v>
      </c>
      <c r="G18" s="10" t="str">
        <f t="shared" si="4"/>
        <v>55439.7958</v>
      </c>
      <c r="H18" s="8">
        <f t="shared" si="5"/>
        <v>9398</v>
      </c>
      <c r="I18" s="55" t="s">
        <v>306</v>
      </c>
      <c r="J18" s="56" t="s">
        <v>307</v>
      </c>
      <c r="K18" s="55" t="s">
        <v>308</v>
      </c>
      <c r="L18" s="55" t="s">
        <v>309</v>
      </c>
      <c r="M18" s="56" t="s">
        <v>251</v>
      </c>
      <c r="N18" s="56" t="s">
        <v>252</v>
      </c>
      <c r="O18" s="57" t="s">
        <v>304</v>
      </c>
      <c r="P18" s="57" t="s">
        <v>305</v>
      </c>
    </row>
    <row r="19" spans="1:16" ht="12.75" customHeight="1" thickBot="1" x14ac:dyDescent="0.25">
      <c r="A19" s="8" t="str">
        <f t="shared" si="0"/>
        <v> JAAVSO 39;94 </v>
      </c>
      <c r="B19" s="2" t="str">
        <f t="shared" si="1"/>
        <v>I</v>
      </c>
      <c r="C19" s="8">
        <f t="shared" si="2"/>
        <v>55448.765099999997</v>
      </c>
      <c r="D19" s="10" t="str">
        <f t="shared" si="3"/>
        <v>vis</v>
      </c>
      <c r="E19" s="54">
        <f>VLOOKUP(C19,Active!C$21:E$971,3,FALSE)</f>
        <v>9401.0644510476268</v>
      </c>
      <c r="F19" s="2" t="s">
        <v>66</v>
      </c>
      <c r="G19" s="10" t="str">
        <f t="shared" si="4"/>
        <v>55448.7651</v>
      </c>
      <c r="H19" s="8">
        <f t="shared" si="5"/>
        <v>9401</v>
      </c>
      <c r="I19" s="55" t="s">
        <v>310</v>
      </c>
      <c r="J19" s="56" t="s">
        <v>311</v>
      </c>
      <c r="K19" s="55" t="s">
        <v>312</v>
      </c>
      <c r="L19" s="55" t="s">
        <v>313</v>
      </c>
      <c r="M19" s="56" t="s">
        <v>251</v>
      </c>
      <c r="N19" s="56" t="s">
        <v>252</v>
      </c>
      <c r="O19" s="57" t="s">
        <v>304</v>
      </c>
      <c r="P19" s="57" t="s">
        <v>305</v>
      </c>
    </row>
    <row r="20" spans="1:16" ht="12.75" customHeight="1" thickBot="1" x14ac:dyDescent="0.25">
      <c r="A20" s="8" t="str">
        <f t="shared" si="0"/>
        <v> JAAVSO 39;177 </v>
      </c>
      <c r="B20" s="2" t="str">
        <f t="shared" si="1"/>
        <v>I</v>
      </c>
      <c r="C20" s="8">
        <f t="shared" si="2"/>
        <v>55478.6633</v>
      </c>
      <c r="D20" s="10" t="str">
        <f t="shared" si="3"/>
        <v>CCD</v>
      </c>
      <c r="E20" s="54">
        <f>VLOOKUP(C20,Active!C$21:E$971,3,FALSE)</f>
        <v>9411.0645045628407</v>
      </c>
      <c r="F20" s="2" t="str">
        <f>LEFT(M20,1)</f>
        <v>C</v>
      </c>
      <c r="G20" s="10" t="str">
        <f t="shared" si="4"/>
        <v>55478.6633</v>
      </c>
      <c r="H20" s="8">
        <f t="shared" si="5"/>
        <v>9411</v>
      </c>
      <c r="I20" s="55" t="s">
        <v>314</v>
      </c>
      <c r="J20" s="56" t="s">
        <v>315</v>
      </c>
      <c r="K20" s="55" t="s">
        <v>316</v>
      </c>
      <c r="L20" s="55" t="s">
        <v>317</v>
      </c>
      <c r="M20" s="56" t="s">
        <v>251</v>
      </c>
      <c r="N20" s="56" t="s">
        <v>66</v>
      </c>
      <c r="O20" s="57" t="s">
        <v>304</v>
      </c>
      <c r="P20" s="57" t="s">
        <v>318</v>
      </c>
    </row>
    <row r="21" spans="1:16" ht="12.75" customHeight="1" thickBot="1" x14ac:dyDescent="0.25">
      <c r="A21" s="8" t="str">
        <f t="shared" si="0"/>
        <v>BAVM 215 </v>
      </c>
      <c r="B21" s="2" t="str">
        <f t="shared" si="1"/>
        <v>I</v>
      </c>
      <c r="C21" s="8">
        <f t="shared" si="2"/>
        <v>55514.542500000003</v>
      </c>
      <c r="D21" s="10" t="str">
        <f t="shared" si="3"/>
        <v>CCD</v>
      </c>
      <c r="E21" s="54">
        <f>VLOOKUP(C21,Active!C$21:E$971,3,FALSE)</f>
        <v>9423.065023660416</v>
      </c>
      <c r="F21" s="2" t="str">
        <f>LEFT(M21,1)</f>
        <v>C</v>
      </c>
      <c r="G21" s="10" t="str">
        <f t="shared" si="4"/>
        <v>55514.5425</v>
      </c>
      <c r="H21" s="8">
        <f t="shared" si="5"/>
        <v>9423</v>
      </c>
      <c r="I21" s="55" t="s">
        <v>319</v>
      </c>
      <c r="J21" s="56" t="s">
        <v>320</v>
      </c>
      <c r="K21" s="55" t="s">
        <v>321</v>
      </c>
      <c r="L21" s="55" t="s">
        <v>322</v>
      </c>
      <c r="M21" s="56" t="s">
        <v>251</v>
      </c>
      <c r="N21" s="56" t="s">
        <v>275</v>
      </c>
      <c r="O21" s="57" t="s">
        <v>323</v>
      </c>
      <c r="P21" s="58" t="s">
        <v>324</v>
      </c>
    </row>
    <row r="22" spans="1:16" ht="12.75" customHeight="1" thickBot="1" x14ac:dyDescent="0.25">
      <c r="A22" s="8" t="str">
        <f t="shared" si="0"/>
        <v>BAVM 231 </v>
      </c>
      <c r="B22" s="2" t="str">
        <f t="shared" si="1"/>
        <v>I</v>
      </c>
      <c r="C22" s="8">
        <f t="shared" si="2"/>
        <v>56133.434800000003</v>
      </c>
      <c r="D22" s="10" t="str">
        <f t="shared" si="3"/>
        <v>CCD</v>
      </c>
      <c r="E22" s="54">
        <f>VLOOKUP(C22,Active!C$21:E$971,3,FALSE)</f>
        <v>9630.065984258501</v>
      </c>
      <c r="F22" s="2" t="str">
        <f>LEFT(M22,1)</f>
        <v>C</v>
      </c>
      <c r="G22" s="10" t="str">
        <f t="shared" si="4"/>
        <v>56133.4348</v>
      </c>
      <c r="H22" s="8">
        <f t="shared" si="5"/>
        <v>9630</v>
      </c>
      <c r="I22" s="55" t="s">
        <v>325</v>
      </c>
      <c r="J22" s="56" t="s">
        <v>326</v>
      </c>
      <c r="K22" s="55" t="s">
        <v>327</v>
      </c>
      <c r="L22" s="55" t="s">
        <v>328</v>
      </c>
      <c r="M22" s="56" t="s">
        <v>251</v>
      </c>
      <c r="N22" s="56" t="s">
        <v>275</v>
      </c>
      <c r="O22" s="57" t="s">
        <v>323</v>
      </c>
      <c r="P22" s="58" t="s">
        <v>329</v>
      </c>
    </row>
    <row r="23" spans="1:16" ht="12.75" customHeight="1" thickBot="1" x14ac:dyDescent="0.25">
      <c r="A23" s="8" t="str">
        <f t="shared" si="0"/>
        <v> PZ 6.69 </v>
      </c>
      <c r="B23" s="2" t="str">
        <f t="shared" si="1"/>
        <v>I</v>
      </c>
      <c r="C23" s="8">
        <f t="shared" si="2"/>
        <v>17095.54</v>
      </c>
      <c r="D23" s="10" t="str">
        <f t="shared" si="3"/>
        <v>vis</v>
      </c>
      <c r="E23" s="54">
        <f>VLOOKUP(C23,Active!C$21:E$971,3,FALSE)</f>
        <v>-3426.942033658393</v>
      </c>
      <c r="F23" s="2" t="s">
        <v>66</v>
      </c>
      <c r="G23" s="10" t="str">
        <f t="shared" si="4"/>
        <v>17095.54</v>
      </c>
      <c r="H23" s="8">
        <f t="shared" si="5"/>
        <v>-3427</v>
      </c>
      <c r="I23" s="55" t="s">
        <v>70</v>
      </c>
      <c r="J23" s="56" t="s">
        <v>71</v>
      </c>
      <c r="K23" s="55">
        <v>-3427</v>
      </c>
      <c r="L23" s="55" t="s">
        <v>72</v>
      </c>
      <c r="M23" s="56" t="s">
        <v>73</v>
      </c>
      <c r="N23" s="56"/>
      <c r="O23" s="57" t="s">
        <v>74</v>
      </c>
      <c r="P23" s="57" t="s">
        <v>75</v>
      </c>
    </row>
    <row r="24" spans="1:16" ht="12.75" customHeight="1" thickBot="1" x14ac:dyDescent="0.25">
      <c r="A24" s="8" t="str">
        <f t="shared" si="0"/>
        <v> PZ 6.69 </v>
      </c>
      <c r="B24" s="2" t="str">
        <f t="shared" si="1"/>
        <v>I</v>
      </c>
      <c r="C24" s="8">
        <f t="shared" si="2"/>
        <v>27341.42</v>
      </c>
      <c r="D24" s="10" t="str">
        <f t="shared" si="3"/>
        <v>vis</v>
      </c>
      <c r="E24" s="54">
        <f>VLOOKUP(C24,Active!C$21:E$971,3,FALSE)</f>
        <v>-1.6723504286630944E-3</v>
      </c>
      <c r="F24" s="2" t="s">
        <v>66</v>
      </c>
      <c r="G24" s="10" t="str">
        <f t="shared" si="4"/>
        <v>27341.42</v>
      </c>
      <c r="H24" s="8">
        <f t="shared" si="5"/>
        <v>0</v>
      </c>
      <c r="I24" s="55" t="s">
        <v>76</v>
      </c>
      <c r="J24" s="56" t="s">
        <v>77</v>
      </c>
      <c r="K24" s="55">
        <v>0</v>
      </c>
      <c r="L24" s="55" t="s">
        <v>78</v>
      </c>
      <c r="M24" s="56" t="s">
        <v>73</v>
      </c>
      <c r="N24" s="56"/>
      <c r="O24" s="57" t="s">
        <v>74</v>
      </c>
      <c r="P24" s="57" t="s">
        <v>75</v>
      </c>
    </row>
    <row r="25" spans="1:16" ht="12.75" customHeight="1" thickBot="1" x14ac:dyDescent="0.25">
      <c r="A25" s="8" t="str">
        <f t="shared" si="0"/>
        <v> PZ 5.162 </v>
      </c>
      <c r="B25" s="2" t="str">
        <f t="shared" si="1"/>
        <v>I</v>
      </c>
      <c r="C25" s="8">
        <f t="shared" si="2"/>
        <v>27341.49</v>
      </c>
      <c r="D25" s="10" t="str">
        <f t="shared" si="3"/>
        <v>vis</v>
      </c>
      <c r="E25" s="54">
        <f>VLOOKUP(C25,Active!C$21:E$971,3,FALSE)</f>
        <v>2.1740555568969842E-2</v>
      </c>
      <c r="F25" s="2" t="s">
        <v>66</v>
      </c>
      <c r="G25" s="10" t="str">
        <f t="shared" si="4"/>
        <v>27341.49</v>
      </c>
      <c r="H25" s="8">
        <f t="shared" si="5"/>
        <v>0</v>
      </c>
      <c r="I25" s="55" t="s">
        <v>79</v>
      </c>
      <c r="J25" s="56" t="s">
        <v>80</v>
      </c>
      <c r="K25" s="55">
        <v>0</v>
      </c>
      <c r="L25" s="55" t="s">
        <v>81</v>
      </c>
      <c r="M25" s="56" t="s">
        <v>73</v>
      </c>
      <c r="N25" s="56"/>
      <c r="O25" s="57" t="s">
        <v>82</v>
      </c>
      <c r="P25" s="57" t="s">
        <v>83</v>
      </c>
    </row>
    <row r="26" spans="1:16" ht="12.75" customHeight="1" thickBot="1" x14ac:dyDescent="0.25">
      <c r="A26" s="8" t="str">
        <f t="shared" si="0"/>
        <v> PZ 5.162 </v>
      </c>
      <c r="B26" s="2" t="str">
        <f t="shared" si="1"/>
        <v>I</v>
      </c>
      <c r="C26" s="8">
        <f t="shared" si="2"/>
        <v>27751.34</v>
      </c>
      <c r="D26" s="10" t="str">
        <f t="shared" si="3"/>
        <v>vis</v>
      </c>
      <c r="E26" s="54">
        <f>VLOOKUP(C26,Active!C$21:E$971,3,FALSE)</f>
        <v>137.10430516515493</v>
      </c>
      <c r="F26" s="2" t="s">
        <v>66</v>
      </c>
      <c r="G26" s="10" t="str">
        <f t="shared" si="4"/>
        <v>27751.34</v>
      </c>
      <c r="H26" s="8">
        <f t="shared" si="5"/>
        <v>137</v>
      </c>
      <c r="I26" s="55" t="s">
        <v>84</v>
      </c>
      <c r="J26" s="56" t="s">
        <v>85</v>
      </c>
      <c r="K26" s="55">
        <v>137</v>
      </c>
      <c r="L26" s="55" t="s">
        <v>86</v>
      </c>
      <c r="M26" s="56" t="s">
        <v>73</v>
      </c>
      <c r="N26" s="56"/>
      <c r="O26" s="57" t="s">
        <v>82</v>
      </c>
      <c r="P26" s="57" t="s">
        <v>83</v>
      </c>
    </row>
    <row r="27" spans="1:16" ht="12.75" customHeight="1" thickBot="1" x14ac:dyDescent="0.25">
      <c r="A27" s="8" t="str">
        <f t="shared" si="0"/>
        <v> PZ 5.162 </v>
      </c>
      <c r="B27" s="2" t="str">
        <f t="shared" si="1"/>
        <v>I</v>
      </c>
      <c r="C27" s="8">
        <f t="shared" si="2"/>
        <v>28573.200000000001</v>
      </c>
      <c r="D27" s="10" t="str">
        <f t="shared" si="3"/>
        <v>vis</v>
      </c>
      <c r="E27" s="54">
        <f>VLOOKUP(C27,Active!C$21:E$971,3,FALSE)</f>
        <v>411.9918897693633</v>
      </c>
      <c r="F27" s="2" t="s">
        <v>66</v>
      </c>
      <c r="G27" s="10" t="str">
        <f t="shared" si="4"/>
        <v>28573.20</v>
      </c>
      <c r="H27" s="8">
        <f t="shared" si="5"/>
        <v>412</v>
      </c>
      <c r="I27" s="55" t="s">
        <v>87</v>
      </c>
      <c r="J27" s="56" t="s">
        <v>88</v>
      </c>
      <c r="K27" s="55">
        <v>412</v>
      </c>
      <c r="L27" s="55" t="s">
        <v>89</v>
      </c>
      <c r="M27" s="56" t="s">
        <v>73</v>
      </c>
      <c r="N27" s="56"/>
      <c r="O27" s="57" t="s">
        <v>82</v>
      </c>
      <c r="P27" s="57" t="s">
        <v>83</v>
      </c>
    </row>
    <row r="28" spans="1:16" ht="12.75" customHeight="1" thickBot="1" x14ac:dyDescent="0.25">
      <c r="A28" s="8" t="str">
        <f t="shared" si="0"/>
        <v> PZ 6.69 </v>
      </c>
      <c r="B28" s="2" t="str">
        <f t="shared" si="1"/>
        <v>I</v>
      </c>
      <c r="C28" s="8">
        <f t="shared" si="2"/>
        <v>28576.21</v>
      </c>
      <c r="D28" s="10" t="str">
        <f t="shared" si="3"/>
        <v>vis</v>
      </c>
      <c r="E28" s="54">
        <f>VLOOKUP(C28,Active!C$21:E$971,3,FALSE)</f>
        <v>412.99864472721288</v>
      </c>
      <c r="F28" s="2" t="s">
        <v>66</v>
      </c>
      <c r="G28" s="10" t="str">
        <f t="shared" si="4"/>
        <v>28576.21</v>
      </c>
      <c r="H28" s="8">
        <f t="shared" si="5"/>
        <v>413</v>
      </c>
      <c r="I28" s="55" t="s">
        <v>90</v>
      </c>
      <c r="J28" s="56" t="s">
        <v>91</v>
      </c>
      <c r="K28" s="55">
        <v>413</v>
      </c>
      <c r="L28" s="55" t="s">
        <v>78</v>
      </c>
      <c r="M28" s="56" t="s">
        <v>73</v>
      </c>
      <c r="N28" s="56"/>
      <c r="O28" s="57" t="s">
        <v>74</v>
      </c>
      <c r="P28" s="57" t="s">
        <v>75</v>
      </c>
    </row>
    <row r="29" spans="1:16" ht="12.75" customHeight="1" thickBot="1" x14ac:dyDescent="0.25">
      <c r="A29" s="8" t="str">
        <f t="shared" si="0"/>
        <v> PZ 5.162 </v>
      </c>
      <c r="B29" s="2" t="str">
        <f t="shared" si="1"/>
        <v>I</v>
      </c>
      <c r="C29" s="8">
        <f t="shared" si="2"/>
        <v>28576.22</v>
      </c>
      <c r="D29" s="10" t="str">
        <f t="shared" si="3"/>
        <v>vis</v>
      </c>
      <c r="E29" s="54">
        <f>VLOOKUP(C29,Active!C$21:E$971,3,FALSE)</f>
        <v>413.0019894280702</v>
      </c>
      <c r="F29" s="2" t="s">
        <v>66</v>
      </c>
      <c r="G29" s="10" t="str">
        <f t="shared" si="4"/>
        <v>28576.22</v>
      </c>
      <c r="H29" s="8">
        <f t="shared" si="5"/>
        <v>413</v>
      </c>
      <c r="I29" s="55" t="s">
        <v>92</v>
      </c>
      <c r="J29" s="56" t="s">
        <v>93</v>
      </c>
      <c r="K29" s="55">
        <v>413</v>
      </c>
      <c r="L29" s="55" t="s">
        <v>94</v>
      </c>
      <c r="M29" s="56" t="s">
        <v>73</v>
      </c>
      <c r="N29" s="56"/>
      <c r="O29" s="57" t="s">
        <v>82</v>
      </c>
      <c r="P29" s="57" t="s">
        <v>83</v>
      </c>
    </row>
    <row r="30" spans="1:16" ht="12.75" customHeight="1" thickBot="1" x14ac:dyDescent="0.25">
      <c r="A30" s="8" t="str">
        <f t="shared" si="0"/>
        <v> PZ 5.162 </v>
      </c>
      <c r="B30" s="2" t="str">
        <f t="shared" si="1"/>
        <v>I</v>
      </c>
      <c r="C30" s="8">
        <f t="shared" si="2"/>
        <v>28597.24</v>
      </c>
      <c r="D30" s="10" t="str">
        <f t="shared" si="3"/>
        <v>vis</v>
      </c>
      <c r="E30" s="54">
        <f>VLOOKUP(C30,Active!C$21:E$971,3,FALSE)</f>
        <v>420.03255062873768</v>
      </c>
      <c r="F30" s="2" t="s">
        <v>66</v>
      </c>
      <c r="G30" s="10" t="str">
        <f t="shared" si="4"/>
        <v>28597.24</v>
      </c>
      <c r="H30" s="8">
        <f t="shared" si="5"/>
        <v>420</v>
      </c>
      <c r="I30" s="55" t="s">
        <v>95</v>
      </c>
      <c r="J30" s="56" t="s">
        <v>96</v>
      </c>
      <c r="K30" s="55">
        <v>420</v>
      </c>
      <c r="L30" s="55" t="s">
        <v>97</v>
      </c>
      <c r="M30" s="56" t="s">
        <v>73</v>
      </c>
      <c r="N30" s="56"/>
      <c r="O30" s="57" t="s">
        <v>82</v>
      </c>
      <c r="P30" s="57" t="s">
        <v>83</v>
      </c>
    </row>
    <row r="31" spans="1:16" ht="12.75" customHeight="1" thickBot="1" x14ac:dyDescent="0.25">
      <c r="A31" s="8" t="str">
        <f t="shared" si="0"/>
        <v> PZ 6.69 </v>
      </c>
      <c r="B31" s="2" t="str">
        <f t="shared" si="1"/>
        <v>I</v>
      </c>
      <c r="C31" s="8">
        <f t="shared" si="2"/>
        <v>28776.53</v>
      </c>
      <c r="D31" s="10" t="str">
        <f t="shared" si="3"/>
        <v>vis</v>
      </c>
      <c r="E31" s="54">
        <f>VLOOKUP(C31,Active!C$21:E$971,3,FALSE)</f>
        <v>479.99969228752104</v>
      </c>
      <c r="F31" s="2" t="s">
        <v>66</v>
      </c>
      <c r="G31" s="10" t="str">
        <f t="shared" si="4"/>
        <v>28776.53</v>
      </c>
      <c r="H31" s="8">
        <f t="shared" si="5"/>
        <v>480</v>
      </c>
      <c r="I31" s="55" t="s">
        <v>98</v>
      </c>
      <c r="J31" s="56" t="s">
        <v>99</v>
      </c>
      <c r="K31" s="55">
        <v>480</v>
      </c>
      <c r="L31" s="55" t="s">
        <v>78</v>
      </c>
      <c r="M31" s="56" t="s">
        <v>73</v>
      </c>
      <c r="N31" s="56"/>
      <c r="O31" s="57" t="s">
        <v>74</v>
      </c>
      <c r="P31" s="57" t="s">
        <v>75</v>
      </c>
    </row>
    <row r="32" spans="1:16" ht="12.75" customHeight="1" thickBot="1" x14ac:dyDescent="0.25">
      <c r="A32" s="8" t="str">
        <f t="shared" si="0"/>
        <v> TKZ 33.112 </v>
      </c>
      <c r="B32" s="2" t="str">
        <f t="shared" si="1"/>
        <v>I</v>
      </c>
      <c r="C32" s="8">
        <f t="shared" si="2"/>
        <v>29117.399000000001</v>
      </c>
      <c r="D32" s="10" t="str">
        <f t="shared" si="3"/>
        <v>vis</v>
      </c>
      <c r="E32" s="54">
        <f>VLOOKUP(C32,Active!C$21:E$971,3,FALSE)</f>
        <v>594.01017591788695</v>
      </c>
      <c r="F32" s="2" t="s">
        <v>66</v>
      </c>
      <c r="G32" s="10" t="str">
        <f t="shared" si="4"/>
        <v>29117.399</v>
      </c>
      <c r="H32" s="8">
        <f t="shared" si="5"/>
        <v>594</v>
      </c>
      <c r="I32" s="55" t="s">
        <v>100</v>
      </c>
      <c r="J32" s="56" t="s">
        <v>101</v>
      </c>
      <c r="K32" s="55">
        <v>594</v>
      </c>
      <c r="L32" s="55" t="s">
        <v>102</v>
      </c>
      <c r="M32" s="56" t="s">
        <v>73</v>
      </c>
      <c r="N32" s="56"/>
      <c r="O32" s="57" t="s">
        <v>103</v>
      </c>
      <c r="P32" s="57" t="s">
        <v>104</v>
      </c>
    </row>
    <row r="33" spans="1:16" ht="12.75" customHeight="1" thickBot="1" x14ac:dyDescent="0.25">
      <c r="A33" s="8" t="str">
        <f t="shared" si="0"/>
        <v> PZ 6.69 </v>
      </c>
      <c r="B33" s="2" t="str">
        <f t="shared" si="1"/>
        <v>I</v>
      </c>
      <c r="C33" s="8">
        <f t="shared" si="2"/>
        <v>29135.32</v>
      </c>
      <c r="D33" s="10" t="str">
        <f t="shared" si="3"/>
        <v>vis</v>
      </c>
      <c r="E33" s="54">
        <f>VLOOKUP(C33,Active!C$21:E$971,3,FALSE)</f>
        <v>600.00421432307951</v>
      </c>
      <c r="F33" s="2" t="s">
        <v>66</v>
      </c>
      <c r="G33" s="10" t="str">
        <f t="shared" si="4"/>
        <v>29135.32</v>
      </c>
      <c r="H33" s="8">
        <f t="shared" si="5"/>
        <v>600</v>
      </c>
      <c r="I33" s="55" t="s">
        <v>105</v>
      </c>
      <c r="J33" s="56" t="s">
        <v>106</v>
      </c>
      <c r="K33" s="55">
        <v>600</v>
      </c>
      <c r="L33" s="55" t="s">
        <v>94</v>
      </c>
      <c r="M33" s="56" t="s">
        <v>73</v>
      </c>
      <c r="N33" s="56"/>
      <c r="O33" s="57" t="s">
        <v>74</v>
      </c>
      <c r="P33" s="57" t="s">
        <v>75</v>
      </c>
    </row>
    <row r="34" spans="1:16" ht="12.75" customHeight="1" thickBot="1" x14ac:dyDescent="0.25">
      <c r="A34" s="8" t="str">
        <f t="shared" si="0"/>
        <v> PZ 6.69 </v>
      </c>
      <c r="B34" s="2" t="str">
        <f t="shared" si="1"/>
        <v>I</v>
      </c>
      <c r="C34" s="8">
        <f t="shared" si="2"/>
        <v>29727.27</v>
      </c>
      <c r="D34" s="10" t="str">
        <f t="shared" si="3"/>
        <v>vis</v>
      </c>
      <c r="E34" s="54">
        <f>VLOOKUP(C34,Active!C$21:E$971,3,FALSE)</f>
        <v>797.99378153216776</v>
      </c>
      <c r="F34" s="2" t="s">
        <v>66</v>
      </c>
      <c r="G34" s="10" t="str">
        <f t="shared" si="4"/>
        <v>29727.27</v>
      </c>
      <c r="H34" s="8">
        <f t="shared" si="5"/>
        <v>798</v>
      </c>
      <c r="I34" s="55" t="s">
        <v>107</v>
      </c>
      <c r="J34" s="56" t="s">
        <v>108</v>
      </c>
      <c r="K34" s="55">
        <v>798</v>
      </c>
      <c r="L34" s="55" t="s">
        <v>89</v>
      </c>
      <c r="M34" s="56" t="s">
        <v>73</v>
      </c>
      <c r="N34" s="56"/>
      <c r="O34" s="57" t="s">
        <v>74</v>
      </c>
      <c r="P34" s="57" t="s">
        <v>75</v>
      </c>
    </row>
    <row r="35" spans="1:16" ht="12.75" customHeight="1" thickBot="1" x14ac:dyDescent="0.25">
      <c r="A35" s="8" t="str">
        <f t="shared" si="0"/>
        <v> TKZ 33.112 </v>
      </c>
      <c r="B35" s="2" t="str">
        <f t="shared" si="1"/>
        <v>I</v>
      </c>
      <c r="C35" s="8">
        <f t="shared" si="2"/>
        <v>31192.238000000001</v>
      </c>
      <c r="D35" s="10" t="str">
        <f t="shared" si="3"/>
        <v>vis</v>
      </c>
      <c r="E35" s="54">
        <f>VLOOKUP(C35,Active!C$21:E$971,3,FALSE)</f>
        <v>1287.9817539878875</v>
      </c>
      <c r="F35" s="2" t="s">
        <v>66</v>
      </c>
      <c r="G35" s="10" t="str">
        <f t="shared" si="4"/>
        <v>31192.238</v>
      </c>
      <c r="H35" s="8">
        <f t="shared" si="5"/>
        <v>1288</v>
      </c>
      <c r="I35" s="55" t="s">
        <v>109</v>
      </c>
      <c r="J35" s="56" t="s">
        <v>110</v>
      </c>
      <c r="K35" s="55">
        <v>1288</v>
      </c>
      <c r="L35" s="55" t="s">
        <v>111</v>
      </c>
      <c r="M35" s="56" t="s">
        <v>73</v>
      </c>
      <c r="N35" s="56"/>
      <c r="O35" s="57" t="s">
        <v>103</v>
      </c>
      <c r="P35" s="57" t="s">
        <v>104</v>
      </c>
    </row>
    <row r="36" spans="1:16" ht="12.75" customHeight="1" thickBot="1" x14ac:dyDescent="0.25">
      <c r="A36" s="8" t="str">
        <f t="shared" si="0"/>
        <v> AJ 62.374 </v>
      </c>
      <c r="B36" s="2" t="str">
        <f t="shared" si="1"/>
        <v>I</v>
      </c>
      <c r="C36" s="8">
        <f t="shared" si="2"/>
        <v>31404.562999999998</v>
      </c>
      <c r="D36" s="10" t="str">
        <f t="shared" si="3"/>
        <v>vis</v>
      </c>
      <c r="E36" s="54">
        <f>VLOOKUP(C36,Active!C$21:E$971,3,FALSE)</f>
        <v>1358.9981149265968</v>
      </c>
      <c r="F36" s="2" t="s">
        <v>66</v>
      </c>
      <c r="G36" s="10" t="str">
        <f t="shared" si="4"/>
        <v>31404.563</v>
      </c>
      <c r="H36" s="8">
        <f t="shared" si="5"/>
        <v>1359</v>
      </c>
      <c r="I36" s="55" t="s">
        <v>112</v>
      </c>
      <c r="J36" s="56" t="s">
        <v>113</v>
      </c>
      <c r="K36" s="55">
        <v>1359</v>
      </c>
      <c r="L36" s="55" t="s">
        <v>114</v>
      </c>
      <c r="M36" s="56" t="s">
        <v>69</v>
      </c>
      <c r="N36" s="56"/>
      <c r="O36" s="57" t="s">
        <v>115</v>
      </c>
      <c r="P36" s="57" t="s">
        <v>116</v>
      </c>
    </row>
    <row r="37" spans="1:16" ht="12.75" customHeight="1" thickBot="1" x14ac:dyDescent="0.25">
      <c r="A37" s="8" t="str">
        <f t="shared" si="0"/>
        <v> TKZ 33.112 </v>
      </c>
      <c r="B37" s="2" t="str">
        <f t="shared" si="1"/>
        <v>I</v>
      </c>
      <c r="C37" s="8">
        <f t="shared" si="2"/>
        <v>31730.412</v>
      </c>
      <c r="D37" s="10" t="str">
        <f t="shared" si="3"/>
        <v>vis</v>
      </c>
      <c r="E37" s="54">
        <f>VLOOKUP(C37,Active!C$21:E$971,3,FALSE)</f>
        <v>1467.9848578702822</v>
      </c>
      <c r="F37" s="2" t="s">
        <v>66</v>
      </c>
      <c r="G37" s="10" t="str">
        <f t="shared" si="4"/>
        <v>31730.412</v>
      </c>
      <c r="H37" s="8">
        <f t="shared" si="5"/>
        <v>1468</v>
      </c>
      <c r="I37" s="55" t="s">
        <v>117</v>
      </c>
      <c r="J37" s="56" t="s">
        <v>118</v>
      </c>
      <c r="K37" s="55">
        <v>1468</v>
      </c>
      <c r="L37" s="55" t="s">
        <v>119</v>
      </c>
      <c r="M37" s="56" t="s">
        <v>73</v>
      </c>
      <c r="N37" s="56"/>
      <c r="O37" s="57" t="s">
        <v>103</v>
      </c>
      <c r="P37" s="57" t="s">
        <v>104</v>
      </c>
    </row>
    <row r="38" spans="1:16" ht="12.75" customHeight="1" thickBot="1" x14ac:dyDescent="0.25">
      <c r="A38" s="8" t="str">
        <f t="shared" si="0"/>
        <v> AJ 62.374 </v>
      </c>
      <c r="B38" s="2" t="str">
        <f t="shared" si="1"/>
        <v>I</v>
      </c>
      <c r="C38" s="8">
        <f t="shared" si="2"/>
        <v>32609.466</v>
      </c>
      <c r="D38" s="10" t="str">
        <f t="shared" si="3"/>
        <v>vis</v>
      </c>
      <c r="E38" s="54">
        <f>VLOOKUP(C38,Active!C$21:E$971,3,FALSE)</f>
        <v>1762.0021245539845</v>
      </c>
      <c r="F38" s="2" t="s">
        <v>66</v>
      </c>
      <c r="G38" s="10" t="str">
        <f t="shared" si="4"/>
        <v>32609.466</v>
      </c>
      <c r="H38" s="8">
        <f t="shared" si="5"/>
        <v>1762</v>
      </c>
      <c r="I38" s="55" t="s">
        <v>120</v>
      </c>
      <c r="J38" s="56" t="s">
        <v>121</v>
      </c>
      <c r="K38" s="55">
        <v>1762</v>
      </c>
      <c r="L38" s="55" t="s">
        <v>122</v>
      </c>
      <c r="M38" s="56" t="s">
        <v>69</v>
      </c>
      <c r="N38" s="56"/>
      <c r="O38" s="57" t="s">
        <v>115</v>
      </c>
      <c r="P38" s="57" t="s">
        <v>116</v>
      </c>
    </row>
    <row r="39" spans="1:16" ht="12.75" customHeight="1" thickBot="1" x14ac:dyDescent="0.25">
      <c r="A39" s="8" t="str">
        <f t="shared" si="0"/>
        <v> TKZ 33.112 </v>
      </c>
      <c r="B39" s="2" t="str">
        <f t="shared" si="1"/>
        <v>I</v>
      </c>
      <c r="C39" s="8">
        <f t="shared" si="2"/>
        <v>33500.322999999997</v>
      </c>
      <c r="D39" s="10" t="str">
        <f t="shared" si="3"/>
        <v>vis</v>
      </c>
      <c r="E39" s="54">
        <f>VLOOKUP(C39,Active!C$21:E$971,3,FALSE)</f>
        <v>2059.9671416587835</v>
      </c>
      <c r="F39" s="2" t="s">
        <v>66</v>
      </c>
      <c r="G39" s="10" t="str">
        <f t="shared" si="4"/>
        <v>33500.323</v>
      </c>
      <c r="H39" s="8">
        <f t="shared" si="5"/>
        <v>2060</v>
      </c>
      <c r="I39" s="55" t="s">
        <v>123</v>
      </c>
      <c r="J39" s="56" t="s">
        <v>124</v>
      </c>
      <c r="K39" s="55">
        <v>2060</v>
      </c>
      <c r="L39" s="55" t="s">
        <v>125</v>
      </c>
      <c r="M39" s="56" t="s">
        <v>73</v>
      </c>
      <c r="N39" s="56"/>
      <c r="O39" s="57" t="s">
        <v>103</v>
      </c>
      <c r="P39" s="57" t="s">
        <v>104</v>
      </c>
    </row>
    <row r="40" spans="1:16" ht="12.75" customHeight="1" thickBot="1" x14ac:dyDescent="0.25">
      <c r="A40" s="8" t="str">
        <f t="shared" si="0"/>
        <v> TKZ 33.112 </v>
      </c>
      <c r="B40" s="2" t="str">
        <f t="shared" si="1"/>
        <v>I</v>
      </c>
      <c r="C40" s="8">
        <f t="shared" si="2"/>
        <v>33506.311999999998</v>
      </c>
      <c r="D40" s="10" t="str">
        <f t="shared" si="3"/>
        <v>vis</v>
      </c>
      <c r="E40" s="54">
        <f>VLOOKUP(C40,Active!C$21:E$971,3,FALSE)</f>
        <v>2061.9702830018286</v>
      </c>
      <c r="F40" s="2" t="s">
        <v>66</v>
      </c>
      <c r="G40" s="10" t="str">
        <f t="shared" si="4"/>
        <v>33506.312</v>
      </c>
      <c r="H40" s="8">
        <f t="shared" si="5"/>
        <v>2062</v>
      </c>
      <c r="I40" s="55" t="s">
        <v>126</v>
      </c>
      <c r="J40" s="56" t="s">
        <v>127</v>
      </c>
      <c r="K40" s="55">
        <v>2062</v>
      </c>
      <c r="L40" s="55" t="s">
        <v>128</v>
      </c>
      <c r="M40" s="56" t="s">
        <v>73</v>
      </c>
      <c r="N40" s="56"/>
      <c r="O40" s="57" t="s">
        <v>103</v>
      </c>
      <c r="P40" s="57" t="s">
        <v>104</v>
      </c>
    </row>
    <row r="41" spans="1:16" ht="12.75" customHeight="1" thickBot="1" x14ac:dyDescent="0.25">
      <c r="A41" s="8" t="str">
        <f t="shared" si="0"/>
        <v> TKZ 33.112 </v>
      </c>
      <c r="B41" s="2" t="str">
        <f t="shared" si="1"/>
        <v>I</v>
      </c>
      <c r="C41" s="8">
        <f t="shared" si="2"/>
        <v>33566.292999999998</v>
      </c>
      <c r="D41" s="10" t="str">
        <f t="shared" si="3"/>
        <v>vis</v>
      </c>
      <c r="E41" s="54">
        <f>VLOOKUP(C41,Active!C$21:E$971,3,FALSE)</f>
        <v>2082.0321332100693</v>
      </c>
      <c r="F41" s="2" t="s">
        <v>66</v>
      </c>
      <c r="G41" s="10" t="str">
        <f t="shared" si="4"/>
        <v>33566.293</v>
      </c>
      <c r="H41" s="8">
        <f t="shared" si="5"/>
        <v>2082</v>
      </c>
      <c r="I41" s="55" t="s">
        <v>129</v>
      </c>
      <c r="J41" s="56" t="s">
        <v>130</v>
      </c>
      <c r="K41" s="55">
        <v>2082</v>
      </c>
      <c r="L41" s="55" t="s">
        <v>131</v>
      </c>
      <c r="M41" s="56" t="s">
        <v>73</v>
      </c>
      <c r="N41" s="56"/>
      <c r="O41" s="57" t="s">
        <v>103</v>
      </c>
      <c r="P41" s="57" t="s">
        <v>104</v>
      </c>
    </row>
    <row r="42" spans="1:16" ht="12.75" customHeight="1" thickBot="1" x14ac:dyDescent="0.25">
      <c r="A42" s="8" t="str">
        <f t="shared" si="0"/>
        <v> TKZ 33.112 </v>
      </c>
      <c r="B42" s="2" t="str">
        <f t="shared" si="1"/>
        <v>I</v>
      </c>
      <c r="C42" s="8">
        <f t="shared" si="2"/>
        <v>33569.178999999996</v>
      </c>
      <c r="D42" s="10" t="str">
        <f t="shared" si="3"/>
        <v>vis</v>
      </c>
      <c r="E42" s="54">
        <f>VLOOKUP(C42,Active!C$21:E$971,3,FALSE)</f>
        <v>2082.9974138772968</v>
      </c>
      <c r="F42" s="2" t="s">
        <v>66</v>
      </c>
      <c r="G42" s="10" t="str">
        <f t="shared" si="4"/>
        <v>33569.179</v>
      </c>
      <c r="H42" s="8">
        <f t="shared" si="5"/>
        <v>2083</v>
      </c>
      <c r="I42" s="55" t="s">
        <v>132</v>
      </c>
      <c r="J42" s="56" t="s">
        <v>133</v>
      </c>
      <c r="K42" s="55">
        <v>2083</v>
      </c>
      <c r="L42" s="55" t="s">
        <v>134</v>
      </c>
      <c r="M42" s="56" t="s">
        <v>73</v>
      </c>
      <c r="N42" s="56"/>
      <c r="O42" s="57" t="s">
        <v>103</v>
      </c>
      <c r="P42" s="57" t="s">
        <v>104</v>
      </c>
    </row>
    <row r="43" spans="1:16" ht="12.75" customHeight="1" thickBot="1" x14ac:dyDescent="0.25">
      <c r="A43" s="8" t="str">
        <f t="shared" ref="A43:A74" si="6">P43</f>
        <v> AJ 62.374 </v>
      </c>
      <c r="B43" s="2" t="str">
        <f t="shared" ref="B43:B74" si="7">IF(H43=INT(H43),"I","II")</f>
        <v>I</v>
      </c>
      <c r="C43" s="8">
        <f t="shared" ref="C43:C74" si="8">1*G43</f>
        <v>35754.730000000003</v>
      </c>
      <c r="D43" s="10" t="str">
        <f t="shared" ref="D43:D74" si="9">VLOOKUP(F43,I$1:J$5,2,FALSE)</f>
        <v>vis</v>
      </c>
      <c r="E43" s="54">
        <f>VLOOKUP(C43,Active!C$21:E$971,3,FALSE)</f>
        <v>2813.9988440713855</v>
      </c>
      <c r="F43" s="2" t="s">
        <v>66</v>
      </c>
      <c r="G43" s="10" t="str">
        <f t="shared" ref="G43:G74" si="10">MID(I43,3,LEN(I43)-3)</f>
        <v>35754.730</v>
      </c>
      <c r="H43" s="8">
        <f t="shared" ref="H43:H74" si="11">1*K43</f>
        <v>2814</v>
      </c>
      <c r="I43" s="55" t="s">
        <v>135</v>
      </c>
      <c r="J43" s="56" t="s">
        <v>136</v>
      </c>
      <c r="K43" s="55">
        <v>2814</v>
      </c>
      <c r="L43" s="55" t="s">
        <v>68</v>
      </c>
      <c r="M43" s="56" t="s">
        <v>69</v>
      </c>
      <c r="N43" s="56"/>
      <c r="O43" s="57" t="s">
        <v>115</v>
      </c>
      <c r="P43" s="57" t="s">
        <v>116</v>
      </c>
    </row>
    <row r="44" spans="1:16" ht="12.75" customHeight="1" thickBot="1" x14ac:dyDescent="0.25">
      <c r="A44" s="8" t="str">
        <f t="shared" si="6"/>
        <v> HABZ 69 </v>
      </c>
      <c r="B44" s="2" t="str">
        <f t="shared" si="7"/>
        <v>I</v>
      </c>
      <c r="C44" s="8">
        <f t="shared" si="8"/>
        <v>37016.430999999997</v>
      </c>
      <c r="D44" s="10" t="str">
        <f t="shared" si="9"/>
        <v>vis</v>
      </c>
      <c r="E44" s="54">
        <f>VLOOKUP(C44,Active!C$21:E$971,3,FALSE)</f>
        <v>3236.0000856243414</v>
      </c>
      <c r="F44" s="2" t="s">
        <v>66</v>
      </c>
      <c r="G44" s="10" t="str">
        <f t="shared" si="10"/>
        <v>37016.431</v>
      </c>
      <c r="H44" s="8">
        <f t="shared" si="11"/>
        <v>3236</v>
      </c>
      <c r="I44" s="55" t="s">
        <v>137</v>
      </c>
      <c r="J44" s="56" t="s">
        <v>138</v>
      </c>
      <c r="K44" s="55">
        <v>3236</v>
      </c>
      <c r="L44" s="55" t="s">
        <v>139</v>
      </c>
      <c r="M44" s="56" t="s">
        <v>73</v>
      </c>
      <c r="N44" s="56"/>
      <c r="O44" s="57" t="s">
        <v>140</v>
      </c>
      <c r="P44" s="57" t="s">
        <v>141</v>
      </c>
    </row>
    <row r="45" spans="1:16" ht="12.75" customHeight="1" thickBot="1" x14ac:dyDescent="0.25">
      <c r="A45" s="8" t="str">
        <f t="shared" si="6"/>
        <v> HABZ 69 </v>
      </c>
      <c r="B45" s="2" t="str">
        <f t="shared" si="7"/>
        <v>I</v>
      </c>
      <c r="C45" s="8">
        <f t="shared" si="8"/>
        <v>37025.372000000003</v>
      </c>
      <c r="D45" s="10" t="str">
        <f t="shared" si="9"/>
        <v>vis</v>
      </c>
      <c r="E45" s="54">
        <f>VLOOKUP(C45,Active!C$21:E$971,3,FALSE)</f>
        <v>3238.9905826602694</v>
      </c>
      <c r="F45" s="2" t="s">
        <v>66</v>
      </c>
      <c r="G45" s="10" t="str">
        <f t="shared" si="10"/>
        <v>37025.372</v>
      </c>
      <c r="H45" s="8">
        <f t="shared" si="11"/>
        <v>3239</v>
      </c>
      <c r="I45" s="55" t="s">
        <v>142</v>
      </c>
      <c r="J45" s="56" t="s">
        <v>143</v>
      </c>
      <c r="K45" s="55">
        <v>3239</v>
      </c>
      <c r="L45" s="55" t="s">
        <v>144</v>
      </c>
      <c r="M45" s="56" t="s">
        <v>73</v>
      </c>
      <c r="N45" s="56"/>
      <c r="O45" s="57" t="s">
        <v>140</v>
      </c>
      <c r="P45" s="57" t="s">
        <v>141</v>
      </c>
    </row>
    <row r="46" spans="1:16" ht="12.75" customHeight="1" thickBot="1" x14ac:dyDescent="0.25">
      <c r="A46" s="8" t="str">
        <f t="shared" si="6"/>
        <v> HABZ 69 </v>
      </c>
      <c r="B46" s="2" t="str">
        <f t="shared" si="7"/>
        <v>I</v>
      </c>
      <c r="C46" s="8">
        <f t="shared" si="8"/>
        <v>39088.362999999998</v>
      </c>
      <c r="D46" s="10" t="str">
        <f t="shared" si="9"/>
        <v>vis</v>
      </c>
      <c r="E46" s="54">
        <f>VLOOKUP(C46,Active!C$21:E$971,3,FALSE)</f>
        <v>3928.9993591553152</v>
      </c>
      <c r="F46" s="2" t="s">
        <v>66</v>
      </c>
      <c r="G46" s="10" t="str">
        <f t="shared" si="10"/>
        <v>39088.363</v>
      </c>
      <c r="H46" s="8">
        <f t="shared" si="11"/>
        <v>3929</v>
      </c>
      <c r="I46" s="55" t="s">
        <v>145</v>
      </c>
      <c r="J46" s="56" t="s">
        <v>146</v>
      </c>
      <c r="K46" s="55">
        <v>3929</v>
      </c>
      <c r="L46" s="55" t="s">
        <v>147</v>
      </c>
      <c r="M46" s="56" t="s">
        <v>73</v>
      </c>
      <c r="N46" s="56"/>
      <c r="O46" s="57" t="s">
        <v>140</v>
      </c>
      <c r="P46" s="57" t="s">
        <v>141</v>
      </c>
    </row>
    <row r="47" spans="1:16" ht="12.75" customHeight="1" thickBot="1" x14ac:dyDescent="0.25">
      <c r="A47" s="8" t="str">
        <f t="shared" si="6"/>
        <v> MVS 12.4 </v>
      </c>
      <c r="B47" s="2" t="str">
        <f t="shared" si="7"/>
        <v>I</v>
      </c>
      <c r="C47" s="8">
        <f t="shared" si="8"/>
        <v>41988.423999999999</v>
      </c>
      <c r="D47" s="10" t="str">
        <f t="shared" si="9"/>
        <v>vis</v>
      </c>
      <c r="E47" s="54">
        <f>VLOOKUP(C47,Active!C$21:E$971,3,FALSE)</f>
        <v>4898.9830102575288</v>
      </c>
      <c r="F47" s="2" t="s">
        <v>66</v>
      </c>
      <c r="G47" s="10" t="str">
        <f t="shared" si="10"/>
        <v>41988.424</v>
      </c>
      <c r="H47" s="8">
        <f t="shared" si="11"/>
        <v>4899</v>
      </c>
      <c r="I47" s="55" t="s">
        <v>148</v>
      </c>
      <c r="J47" s="56" t="s">
        <v>149</v>
      </c>
      <c r="K47" s="55">
        <v>4899</v>
      </c>
      <c r="L47" s="55" t="s">
        <v>150</v>
      </c>
      <c r="M47" s="56" t="s">
        <v>73</v>
      </c>
      <c r="N47" s="56"/>
      <c r="O47" s="57" t="s">
        <v>151</v>
      </c>
      <c r="P47" s="57" t="s">
        <v>152</v>
      </c>
    </row>
    <row r="48" spans="1:16" ht="12.75" customHeight="1" thickBot="1" x14ac:dyDescent="0.25">
      <c r="A48" s="8" t="str">
        <f t="shared" si="6"/>
        <v> MVS 12.4 </v>
      </c>
      <c r="B48" s="2" t="str">
        <f t="shared" si="7"/>
        <v>I</v>
      </c>
      <c r="C48" s="8">
        <f t="shared" si="8"/>
        <v>42009.364999999998</v>
      </c>
      <c r="D48" s="10" t="str">
        <f t="shared" si="9"/>
        <v>vis</v>
      </c>
      <c r="E48" s="54">
        <f>VLOOKUP(C48,Active!C$21:E$971,3,FALSE)</f>
        <v>4905.9871483214283</v>
      </c>
      <c r="F48" s="2" t="s">
        <v>66</v>
      </c>
      <c r="G48" s="10" t="str">
        <f t="shared" si="10"/>
        <v>42009.365</v>
      </c>
      <c r="H48" s="8">
        <f t="shared" si="11"/>
        <v>4906</v>
      </c>
      <c r="I48" s="55" t="s">
        <v>153</v>
      </c>
      <c r="J48" s="56" t="s">
        <v>154</v>
      </c>
      <c r="K48" s="55">
        <v>4906</v>
      </c>
      <c r="L48" s="55" t="s">
        <v>155</v>
      </c>
      <c r="M48" s="56" t="s">
        <v>73</v>
      </c>
      <c r="N48" s="56"/>
      <c r="O48" s="57" t="s">
        <v>151</v>
      </c>
      <c r="P48" s="57" t="s">
        <v>152</v>
      </c>
    </row>
    <row r="49" spans="1:16" ht="12.75" customHeight="1" thickBot="1" x14ac:dyDescent="0.25">
      <c r="A49" s="8" t="str">
        <f t="shared" si="6"/>
        <v> HABZ 69 </v>
      </c>
      <c r="B49" s="2" t="str">
        <f t="shared" si="7"/>
        <v>I</v>
      </c>
      <c r="C49" s="8">
        <f t="shared" si="8"/>
        <v>42009.406999999999</v>
      </c>
      <c r="D49" s="10" t="str">
        <f t="shared" si="9"/>
        <v>vis</v>
      </c>
      <c r="E49" s="54">
        <f>VLOOKUP(C49,Active!C$21:E$971,3,FALSE)</f>
        <v>4906.0011960650263</v>
      </c>
      <c r="F49" s="2" t="s">
        <v>66</v>
      </c>
      <c r="G49" s="10" t="str">
        <f t="shared" si="10"/>
        <v>42009.407</v>
      </c>
      <c r="H49" s="8">
        <f t="shared" si="11"/>
        <v>4906</v>
      </c>
      <c r="I49" s="55" t="s">
        <v>156</v>
      </c>
      <c r="J49" s="56" t="s">
        <v>157</v>
      </c>
      <c r="K49" s="55">
        <v>4906</v>
      </c>
      <c r="L49" s="55" t="s">
        <v>158</v>
      </c>
      <c r="M49" s="56" t="s">
        <v>73</v>
      </c>
      <c r="N49" s="56"/>
      <c r="O49" s="57" t="s">
        <v>140</v>
      </c>
      <c r="P49" s="57" t="s">
        <v>141</v>
      </c>
    </row>
    <row r="50" spans="1:16" ht="12.75" customHeight="1" thickBot="1" x14ac:dyDescent="0.25">
      <c r="A50" s="8" t="str">
        <f t="shared" si="6"/>
        <v> HABZ 69 </v>
      </c>
      <c r="B50" s="2" t="str">
        <f t="shared" si="7"/>
        <v>I</v>
      </c>
      <c r="C50" s="8">
        <f t="shared" si="8"/>
        <v>42036.328000000001</v>
      </c>
      <c r="D50" s="10" t="str">
        <f t="shared" si="9"/>
        <v>vis</v>
      </c>
      <c r="E50" s="54">
        <f>VLOOKUP(C50,Active!C$21:E$971,3,FALSE)</f>
        <v>4915.0054652412009</v>
      </c>
      <c r="F50" s="2" t="s">
        <v>66</v>
      </c>
      <c r="G50" s="10" t="str">
        <f t="shared" si="10"/>
        <v>42036.328</v>
      </c>
      <c r="H50" s="8">
        <f t="shared" si="11"/>
        <v>4915</v>
      </c>
      <c r="I50" s="55" t="s">
        <v>159</v>
      </c>
      <c r="J50" s="56" t="s">
        <v>160</v>
      </c>
      <c r="K50" s="55">
        <v>4915</v>
      </c>
      <c r="L50" s="55" t="s">
        <v>161</v>
      </c>
      <c r="M50" s="56" t="s">
        <v>73</v>
      </c>
      <c r="N50" s="56"/>
      <c r="O50" s="57" t="s">
        <v>140</v>
      </c>
      <c r="P50" s="57" t="s">
        <v>141</v>
      </c>
    </row>
    <row r="51" spans="1:16" ht="12.75" customHeight="1" thickBot="1" x14ac:dyDescent="0.25">
      <c r="A51" s="8" t="str">
        <f t="shared" si="6"/>
        <v> MVS 12.4 </v>
      </c>
      <c r="B51" s="2" t="str">
        <f t="shared" si="7"/>
        <v>I</v>
      </c>
      <c r="C51" s="8">
        <f t="shared" si="8"/>
        <v>42069.322</v>
      </c>
      <c r="D51" s="10" t="str">
        <f t="shared" si="9"/>
        <v>vis</v>
      </c>
      <c r="E51" s="54">
        <f>VLOOKUP(C51,Active!C$21:E$971,3,FALSE)</f>
        <v>4926.0409712476139</v>
      </c>
      <c r="F51" s="2" t="s">
        <v>66</v>
      </c>
      <c r="G51" s="10" t="str">
        <f t="shared" si="10"/>
        <v>42069.322</v>
      </c>
      <c r="H51" s="8">
        <f t="shared" si="11"/>
        <v>4926</v>
      </c>
      <c r="I51" s="55" t="s">
        <v>162</v>
      </c>
      <c r="J51" s="56" t="s">
        <v>163</v>
      </c>
      <c r="K51" s="55">
        <v>4926</v>
      </c>
      <c r="L51" s="55" t="s">
        <v>164</v>
      </c>
      <c r="M51" s="56" t="s">
        <v>73</v>
      </c>
      <c r="N51" s="56"/>
      <c r="O51" s="57" t="s">
        <v>151</v>
      </c>
      <c r="P51" s="57" t="s">
        <v>152</v>
      </c>
    </row>
    <row r="52" spans="1:16" ht="12.75" customHeight="1" thickBot="1" x14ac:dyDescent="0.25">
      <c r="A52" s="8" t="str">
        <f t="shared" si="6"/>
        <v> MVS 12.4 </v>
      </c>
      <c r="B52" s="2" t="str">
        <f t="shared" si="7"/>
        <v>I</v>
      </c>
      <c r="C52" s="8">
        <f t="shared" si="8"/>
        <v>42275.482000000004</v>
      </c>
      <c r="D52" s="10" t="str">
        <f t="shared" si="9"/>
        <v>vis</v>
      </c>
      <c r="E52" s="54">
        <f>VLOOKUP(C52,Active!C$21:E$971,3,FALSE)</f>
        <v>4994.9953241082039</v>
      </c>
      <c r="F52" s="2" t="s">
        <v>66</v>
      </c>
      <c r="G52" s="10" t="str">
        <f t="shared" si="10"/>
        <v>42275.482</v>
      </c>
      <c r="H52" s="8">
        <f t="shared" si="11"/>
        <v>4995</v>
      </c>
      <c r="I52" s="55" t="s">
        <v>165</v>
      </c>
      <c r="J52" s="56" t="s">
        <v>166</v>
      </c>
      <c r="K52" s="55">
        <v>4995</v>
      </c>
      <c r="L52" s="55" t="s">
        <v>167</v>
      </c>
      <c r="M52" s="56" t="s">
        <v>73</v>
      </c>
      <c r="N52" s="56"/>
      <c r="O52" s="57" t="s">
        <v>151</v>
      </c>
      <c r="P52" s="57" t="s">
        <v>152</v>
      </c>
    </row>
    <row r="53" spans="1:16" ht="12.75" customHeight="1" thickBot="1" x14ac:dyDescent="0.25">
      <c r="A53" s="8" t="str">
        <f t="shared" si="6"/>
        <v> MVS 12.4 </v>
      </c>
      <c r="B53" s="2" t="str">
        <f t="shared" si="7"/>
        <v>I</v>
      </c>
      <c r="C53" s="8">
        <f t="shared" si="8"/>
        <v>42302.445</v>
      </c>
      <c r="D53" s="10" t="str">
        <f t="shared" si="9"/>
        <v>vis</v>
      </c>
      <c r="E53" s="54">
        <f>VLOOKUP(C53,Active!C$21:E$971,3,FALSE)</f>
        <v>5004.0136410279738</v>
      </c>
      <c r="F53" s="2" t="s">
        <v>66</v>
      </c>
      <c r="G53" s="10" t="str">
        <f t="shared" si="10"/>
        <v>42302.445</v>
      </c>
      <c r="H53" s="8">
        <f t="shared" si="11"/>
        <v>5004</v>
      </c>
      <c r="I53" s="55" t="s">
        <v>168</v>
      </c>
      <c r="J53" s="56" t="s">
        <v>169</v>
      </c>
      <c r="K53" s="55">
        <v>5004</v>
      </c>
      <c r="L53" s="55" t="s">
        <v>170</v>
      </c>
      <c r="M53" s="56" t="s">
        <v>73</v>
      </c>
      <c r="N53" s="56"/>
      <c r="O53" s="57" t="s">
        <v>151</v>
      </c>
      <c r="P53" s="57" t="s">
        <v>152</v>
      </c>
    </row>
    <row r="54" spans="1:16" ht="12.75" customHeight="1" thickBot="1" x14ac:dyDescent="0.25">
      <c r="A54" s="8" t="str">
        <f t="shared" si="6"/>
        <v> AOEB 12 </v>
      </c>
      <c r="B54" s="2" t="str">
        <f t="shared" si="7"/>
        <v>I</v>
      </c>
      <c r="C54" s="8">
        <f t="shared" si="8"/>
        <v>43073.745999999999</v>
      </c>
      <c r="D54" s="10" t="str">
        <f t="shared" si="9"/>
        <v>vis</v>
      </c>
      <c r="E54" s="54">
        <f>VLOOKUP(C54,Active!C$21:E$971,3,FALSE)</f>
        <v>5261.9907525710714</v>
      </c>
      <c r="F54" s="2" t="s">
        <v>66</v>
      </c>
      <c r="G54" s="10" t="str">
        <f t="shared" si="10"/>
        <v>43073.746</v>
      </c>
      <c r="H54" s="8">
        <f t="shared" si="11"/>
        <v>5262</v>
      </c>
      <c r="I54" s="55" t="s">
        <v>171</v>
      </c>
      <c r="J54" s="56" t="s">
        <v>172</v>
      </c>
      <c r="K54" s="55">
        <v>5262</v>
      </c>
      <c r="L54" s="55" t="s">
        <v>144</v>
      </c>
      <c r="M54" s="56" t="s">
        <v>173</v>
      </c>
      <c r="N54" s="56"/>
      <c r="O54" s="57" t="s">
        <v>174</v>
      </c>
      <c r="P54" s="57" t="s">
        <v>175</v>
      </c>
    </row>
    <row r="55" spans="1:16" ht="12.75" customHeight="1" thickBot="1" x14ac:dyDescent="0.25">
      <c r="A55" s="8" t="str">
        <f t="shared" si="6"/>
        <v> MVS 12.4 </v>
      </c>
      <c r="B55" s="2" t="str">
        <f t="shared" si="7"/>
        <v>I</v>
      </c>
      <c r="C55" s="8">
        <f t="shared" si="8"/>
        <v>43483.337</v>
      </c>
      <c r="D55" s="10" t="str">
        <f t="shared" si="9"/>
        <v>vis</v>
      </c>
      <c r="E55" s="54">
        <f>VLOOKUP(C55,Active!C$21:E$971,3,FALSE)</f>
        <v>5398.9866894284714</v>
      </c>
      <c r="F55" s="2" t="s">
        <v>66</v>
      </c>
      <c r="G55" s="10" t="str">
        <f t="shared" si="10"/>
        <v>43483.337</v>
      </c>
      <c r="H55" s="8">
        <f t="shared" si="11"/>
        <v>5399</v>
      </c>
      <c r="I55" s="55" t="s">
        <v>176</v>
      </c>
      <c r="J55" s="56" t="s">
        <v>177</v>
      </c>
      <c r="K55" s="55">
        <v>5399</v>
      </c>
      <c r="L55" s="55" t="s">
        <v>178</v>
      </c>
      <c r="M55" s="56" t="s">
        <v>73</v>
      </c>
      <c r="N55" s="56"/>
      <c r="O55" s="57" t="s">
        <v>151</v>
      </c>
      <c r="P55" s="57" t="s">
        <v>152</v>
      </c>
    </row>
    <row r="56" spans="1:16" ht="12.75" customHeight="1" thickBot="1" x14ac:dyDescent="0.25">
      <c r="A56" s="8" t="str">
        <f t="shared" si="6"/>
        <v> AOEB 12 </v>
      </c>
      <c r="B56" s="2" t="str">
        <f t="shared" si="7"/>
        <v>I</v>
      </c>
      <c r="C56" s="8">
        <f t="shared" si="8"/>
        <v>44520.845999999998</v>
      </c>
      <c r="D56" s="10" t="str">
        <f t="shared" si="9"/>
        <v>vis</v>
      </c>
      <c r="E56" s="54">
        <f>VLOOKUP(C56,Active!C$21:E$971,3,FALSE)</f>
        <v>5746.0024135361382</v>
      </c>
      <c r="F56" s="2" t="s">
        <v>66</v>
      </c>
      <c r="G56" s="10" t="str">
        <f t="shared" si="10"/>
        <v>44520.846</v>
      </c>
      <c r="H56" s="8">
        <f t="shared" si="11"/>
        <v>5746</v>
      </c>
      <c r="I56" s="55" t="s">
        <v>179</v>
      </c>
      <c r="J56" s="56" t="s">
        <v>180</v>
      </c>
      <c r="K56" s="55">
        <v>5746</v>
      </c>
      <c r="L56" s="55" t="s">
        <v>181</v>
      </c>
      <c r="M56" s="56" t="s">
        <v>173</v>
      </c>
      <c r="N56" s="56"/>
      <c r="O56" s="57" t="s">
        <v>182</v>
      </c>
      <c r="P56" s="57" t="s">
        <v>175</v>
      </c>
    </row>
    <row r="57" spans="1:16" ht="12.75" customHeight="1" thickBot="1" x14ac:dyDescent="0.25">
      <c r="A57" s="8" t="str">
        <f t="shared" si="6"/>
        <v> MVS 12.4 </v>
      </c>
      <c r="B57" s="2" t="str">
        <f t="shared" si="7"/>
        <v>I</v>
      </c>
      <c r="C57" s="8">
        <f t="shared" si="8"/>
        <v>45211.519</v>
      </c>
      <c r="D57" s="10" t="str">
        <f t="shared" si="9"/>
        <v>vis</v>
      </c>
      <c r="E57" s="54">
        <f>VLOOKUP(C57,Active!C$21:E$971,3,FALSE)</f>
        <v>5977.0118710122806</v>
      </c>
      <c r="F57" s="2" t="s">
        <v>66</v>
      </c>
      <c r="G57" s="10" t="str">
        <f t="shared" si="10"/>
        <v>45211.519</v>
      </c>
      <c r="H57" s="8">
        <f t="shared" si="11"/>
        <v>5977</v>
      </c>
      <c r="I57" s="55" t="s">
        <v>183</v>
      </c>
      <c r="J57" s="56" t="s">
        <v>184</v>
      </c>
      <c r="K57" s="55">
        <v>5977</v>
      </c>
      <c r="L57" s="55" t="s">
        <v>185</v>
      </c>
      <c r="M57" s="56" t="s">
        <v>73</v>
      </c>
      <c r="N57" s="56"/>
      <c r="O57" s="57" t="s">
        <v>151</v>
      </c>
      <c r="P57" s="57" t="s">
        <v>152</v>
      </c>
    </row>
    <row r="58" spans="1:16" ht="12.75" customHeight="1" thickBot="1" x14ac:dyDescent="0.25">
      <c r="A58" s="8" t="str">
        <f t="shared" si="6"/>
        <v> MVS 12.4 </v>
      </c>
      <c r="B58" s="2" t="str">
        <f t="shared" si="7"/>
        <v>I</v>
      </c>
      <c r="C58" s="8">
        <f t="shared" si="8"/>
        <v>45229.468000000001</v>
      </c>
      <c r="D58" s="10" t="str">
        <f t="shared" si="9"/>
        <v>vis</v>
      </c>
      <c r="E58" s="54">
        <f>VLOOKUP(C58,Active!C$21:E$971,3,FALSE)</f>
        <v>5983.0152745798732</v>
      </c>
      <c r="F58" s="2" t="s">
        <v>66</v>
      </c>
      <c r="G58" s="10" t="str">
        <f t="shared" si="10"/>
        <v>45229.468</v>
      </c>
      <c r="H58" s="8">
        <f t="shared" si="11"/>
        <v>5983</v>
      </c>
      <c r="I58" s="55" t="s">
        <v>186</v>
      </c>
      <c r="J58" s="56" t="s">
        <v>187</v>
      </c>
      <c r="K58" s="55">
        <v>5983</v>
      </c>
      <c r="L58" s="55" t="s">
        <v>188</v>
      </c>
      <c r="M58" s="56" t="s">
        <v>73</v>
      </c>
      <c r="N58" s="56"/>
      <c r="O58" s="57" t="s">
        <v>151</v>
      </c>
      <c r="P58" s="57" t="s">
        <v>152</v>
      </c>
    </row>
    <row r="59" spans="1:16" ht="12.75" customHeight="1" thickBot="1" x14ac:dyDescent="0.25">
      <c r="A59" s="8" t="str">
        <f t="shared" si="6"/>
        <v> MVS 12.4 </v>
      </c>
      <c r="B59" s="2" t="str">
        <f t="shared" si="7"/>
        <v>I</v>
      </c>
      <c r="C59" s="8">
        <f t="shared" si="8"/>
        <v>45238.489000000001</v>
      </c>
      <c r="D59" s="10" t="str">
        <f t="shared" si="9"/>
        <v>vis</v>
      </c>
      <c r="E59" s="54">
        <f>VLOOKUP(C59,Active!C$21:E$971,3,FALSE)</f>
        <v>5986.0325292226526</v>
      </c>
      <c r="F59" s="2" t="s">
        <v>66</v>
      </c>
      <c r="G59" s="10" t="str">
        <f t="shared" si="10"/>
        <v>45238.489</v>
      </c>
      <c r="H59" s="8">
        <f t="shared" si="11"/>
        <v>5986</v>
      </c>
      <c r="I59" s="55" t="s">
        <v>189</v>
      </c>
      <c r="J59" s="56" t="s">
        <v>190</v>
      </c>
      <c r="K59" s="55">
        <v>5986</v>
      </c>
      <c r="L59" s="55" t="s">
        <v>191</v>
      </c>
      <c r="M59" s="56" t="s">
        <v>73</v>
      </c>
      <c r="N59" s="56"/>
      <c r="O59" s="57" t="s">
        <v>151</v>
      </c>
      <c r="P59" s="57" t="s">
        <v>152</v>
      </c>
    </row>
    <row r="60" spans="1:16" ht="12.75" customHeight="1" thickBot="1" x14ac:dyDescent="0.25">
      <c r="A60" s="8" t="str">
        <f t="shared" si="6"/>
        <v> MVS 12.4 </v>
      </c>
      <c r="B60" s="2" t="str">
        <f t="shared" si="7"/>
        <v>I</v>
      </c>
      <c r="C60" s="8">
        <f t="shared" si="8"/>
        <v>45268.436999999998</v>
      </c>
      <c r="D60" s="10" t="str">
        <f t="shared" si="9"/>
        <v>vis</v>
      </c>
      <c r="E60" s="54">
        <f>VLOOKUP(C60,Active!C$21:E$971,3,FALSE)</f>
        <v>5996.0492393481309</v>
      </c>
      <c r="F60" s="2" t="s">
        <v>66</v>
      </c>
      <c r="G60" s="10" t="str">
        <f t="shared" si="10"/>
        <v>45268.437</v>
      </c>
      <c r="H60" s="8">
        <f t="shared" si="11"/>
        <v>5996</v>
      </c>
      <c r="I60" s="55" t="s">
        <v>192</v>
      </c>
      <c r="J60" s="56" t="s">
        <v>193</v>
      </c>
      <c r="K60" s="55">
        <v>5996</v>
      </c>
      <c r="L60" s="55" t="s">
        <v>194</v>
      </c>
      <c r="M60" s="56" t="s">
        <v>73</v>
      </c>
      <c r="N60" s="56"/>
      <c r="O60" s="57" t="s">
        <v>151</v>
      </c>
      <c r="P60" s="57" t="s">
        <v>152</v>
      </c>
    </row>
    <row r="61" spans="1:16" ht="12.75" customHeight="1" thickBot="1" x14ac:dyDescent="0.25">
      <c r="A61" s="8" t="str">
        <f t="shared" si="6"/>
        <v> MVS 12.4 </v>
      </c>
      <c r="B61" s="2" t="str">
        <f t="shared" si="7"/>
        <v>I</v>
      </c>
      <c r="C61" s="8">
        <f t="shared" si="8"/>
        <v>45525.508000000002</v>
      </c>
      <c r="D61" s="10" t="str">
        <f t="shared" si="9"/>
        <v>vis</v>
      </c>
      <c r="E61" s="54">
        <f>VLOOKUP(C61,Active!C$21:E$971,3,FALSE)</f>
        <v>6082.0317987399849</v>
      </c>
      <c r="F61" s="2" t="s">
        <v>66</v>
      </c>
      <c r="G61" s="10" t="str">
        <f t="shared" si="10"/>
        <v>45525.508</v>
      </c>
      <c r="H61" s="8">
        <f t="shared" si="11"/>
        <v>6082</v>
      </c>
      <c r="I61" s="55" t="s">
        <v>195</v>
      </c>
      <c r="J61" s="56" t="s">
        <v>196</v>
      </c>
      <c r="K61" s="55">
        <v>6082</v>
      </c>
      <c r="L61" s="55" t="s">
        <v>197</v>
      </c>
      <c r="M61" s="56" t="s">
        <v>73</v>
      </c>
      <c r="N61" s="56"/>
      <c r="O61" s="57" t="s">
        <v>151</v>
      </c>
      <c r="P61" s="57" t="s">
        <v>152</v>
      </c>
    </row>
    <row r="62" spans="1:16" ht="12.75" customHeight="1" thickBot="1" x14ac:dyDescent="0.25">
      <c r="A62" s="8" t="str">
        <f t="shared" si="6"/>
        <v> MVS 12.4 </v>
      </c>
      <c r="B62" s="2" t="str">
        <f t="shared" si="7"/>
        <v>I</v>
      </c>
      <c r="C62" s="8">
        <f t="shared" si="8"/>
        <v>45528.500999999997</v>
      </c>
      <c r="D62" s="10" t="str">
        <f t="shared" si="9"/>
        <v>vis</v>
      </c>
      <c r="E62" s="54">
        <f>VLOOKUP(C62,Active!C$21:E$971,3,FALSE)</f>
        <v>6083.0328677063771</v>
      </c>
      <c r="F62" s="2" t="s">
        <v>66</v>
      </c>
      <c r="G62" s="10" t="str">
        <f t="shared" si="10"/>
        <v>45528.501</v>
      </c>
      <c r="H62" s="8">
        <f t="shared" si="11"/>
        <v>6083</v>
      </c>
      <c r="I62" s="55" t="s">
        <v>198</v>
      </c>
      <c r="J62" s="56" t="s">
        <v>199</v>
      </c>
      <c r="K62" s="55">
        <v>6083</v>
      </c>
      <c r="L62" s="55" t="s">
        <v>200</v>
      </c>
      <c r="M62" s="56" t="s">
        <v>73</v>
      </c>
      <c r="N62" s="56"/>
      <c r="O62" s="57" t="s">
        <v>151</v>
      </c>
      <c r="P62" s="57" t="s">
        <v>152</v>
      </c>
    </row>
    <row r="63" spans="1:16" ht="12.75" customHeight="1" thickBot="1" x14ac:dyDescent="0.25">
      <c r="A63" s="8" t="str">
        <f t="shared" si="6"/>
        <v> MVS 12.4 </v>
      </c>
      <c r="B63" s="2" t="str">
        <f t="shared" si="7"/>
        <v>I</v>
      </c>
      <c r="C63" s="8">
        <f t="shared" si="8"/>
        <v>45531.512000000002</v>
      </c>
      <c r="D63" s="10" t="str">
        <f t="shared" si="9"/>
        <v>vis</v>
      </c>
      <c r="E63" s="54">
        <f>VLOOKUP(C63,Active!C$21:E$971,3,FALSE)</f>
        <v>6084.039957134315</v>
      </c>
      <c r="F63" s="2" t="s">
        <v>66</v>
      </c>
      <c r="G63" s="10" t="str">
        <f t="shared" si="10"/>
        <v>45531.512</v>
      </c>
      <c r="H63" s="8">
        <f t="shared" si="11"/>
        <v>6084</v>
      </c>
      <c r="I63" s="55" t="s">
        <v>201</v>
      </c>
      <c r="J63" s="56" t="s">
        <v>202</v>
      </c>
      <c r="K63" s="55">
        <v>6084</v>
      </c>
      <c r="L63" s="55" t="s">
        <v>203</v>
      </c>
      <c r="M63" s="56" t="s">
        <v>73</v>
      </c>
      <c r="N63" s="56"/>
      <c r="O63" s="57" t="s">
        <v>151</v>
      </c>
      <c r="P63" s="57" t="s">
        <v>152</v>
      </c>
    </row>
    <row r="64" spans="1:16" ht="12.75" customHeight="1" thickBot="1" x14ac:dyDescent="0.25">
      <c r="A64" s="8" t="str">
        <f t="shared" si="6"/>
        <v> MVS 12.4 </v>
      </c>
      <c r="B64" s="2" t="str">
        <f t="shared" si="7"/>
        <v>I</v>
      </c>
      <c r="C64" s="8">
        <f t="shared" si="8"/>
        <v>45534.517</v>
      </c>
      <c r="D64" s="10" t="str">
        <f t="shared" si="9"/>
        <v>vis</v>
      </c>
      <c r="E64" s="54">
        <f>VLOOKUP(C64,Active!C$21:E$971,3,FALSE)</f>
        <v>6085.0450397417362</v>
      </c>
      <c r="F64" s="2" t="s">
        <v>66</v>
      </c>
      <c r="G64" s="10" t="str">
        <f t="shared" si="10"/>
        <v>45534.517</v>
      </c>
      <c r="H64" s="8">
        <f t="shared" si="11"/>
        <v>6085</v>
      </c>
      <c r="I64" s="55" t="s">
        <v>204</v>
      </c>
      <c r="J64" s="56" t="s">
        <v>205</v>
      </c>
      <c r="K64" s="55">
        <v>6085</v>
      </c>
      <c r="L64" s="55" t="s">
        <v>206</v>
      </c>
      <c r="M64" s="56" t="s">
        <v>73</v>
      </c>
      <c r="N64" s="56"/>
      <c r="O64" s="57" t="s">
        <v>151</v>
      </c>
      <c r="P64" s="57" t="s">
        <v>152</v>
      </c>
    </row>
    <row r="65" spans="1:16" ht="12.75" customHeight="1" thickBot="1" x14ac:dyDescent="0.25">
      <c r="A65" s="8" t="str">
        <f t="shared" si="6"/>
        <v> MVS 12.4 </v>
      </c>
      <c r="B65" s="2" t="str">
        <f t="shared" si="7"/>
        <v>I</v>
      </c>
      <c r="C65" s="8">
        <f t="shared" si="8"/>
        <v>45555.440999999999</v>
      </c>
      <c r="D65" s="10" t="str">
        <f t="shared" si="9"/>
        <v>vis</v>
      </c>
      <c r="E65" s="54">
        <f>VLOOKUP(C65,Active!C$21:E$971,3,FALSE)</f>
        <v>6092.0434918141791</v>
      </c>
      <c r="F65" s="2" t="s">
        <v>66</v>
      </c>
      <c r="G65" s="10" t="str">
        <f t="shared" si="10"/>
        <v>45555.441</v>
      </c>
      <c r="H65" s="8">
        <f t="shared" si="11"/>
        <v>6092</v>
      </c>
      <c r="I65" s="55" t="s">
        <v>207</v>
      </c>
      <c r="J65" s="56" t="s">
        <v>208</v>
      </c>
      <c r="K65" s="55">
        <v>6092</v>
      </c>
      <c r="L65" s="55" t="s">
        <v>209</v>
      </c>
      <c r="M65" s="56" t="s">
        <v>73</v>
      </c>
      <c r="N65" s="56"/>
      <c r="O65" s="57" t="s">
        <v>151</v>
      </c>
      <c r="P65" s="57" t="s">
        <v>152</v>
      </c>
    </row>
    <row r="66" spans="1:16" ht="12.75" customHeight="1" thickBot="1" x14ac:dyDescent="0.25">
      <c r="A66" s="8" t="str">
        <f t="shared" si="6"/>
        <v> MVS 12.4 </v>
      </c>
      <c r="B66" s="2" t="str">
        <f t="shared" si="7"/>
        <v>I</v>
      </c>
      <c r="C66" s="8">
        <f t="shared" si="8"/>
        <v>46679.582000000002</v>
      </c>
      <c r="D66" s="10" t="str">
        <f t="shared" si="9"/>
        <v>vis</v>
      </c>
      <c r="E66" s="54">
        <f>VLOOKUP(C66,Active!C$21:E$971,3,FALSE)</f>
        <v>6468.0350283831331</v>
      </c>
      <c r="F66" s="2" t="s">
        <v>66</v>
      </c>
      <c r="G66" s="10" t="str">
        <f t="shared" si="10"/>
        <v>46679.582</v>
      </c>
      <c r="H66" s="8">
        <f t="shared" si="11"/>
        <v>6468</v>
      </c>
      <c r="I66" s="55" t="s">
        <v>210</v>
      </c>
      <c r="J66" s="56" t="s">
        <v>211</v>
      </c>
      <c r="K66" s="55">
        <v>6468</v>
      </c>
      <c r="L66" s="55" t="s">
        <v>212</v>
      </c>
      <c r="M66" s="56" t="s">
        <v>73</v>
      </c>
      <c r="N66" s="56"/>
      <c r="O66" s="57" t="s">
        <v>151</v>
      </c>
      <c r="P66" s="57" t="s">
        <v>152</v>
      </c>
    </row>
    <row r="67" spans="1:16" ht="12.75" customHeight="1" thickBot="1" x14ac:dyDescent="0.25">
      <c r="A67" s="8" t="str">
        <f t="shared" si="6"/>
        <v> MVS 12.4 </v>
      </c>
      <c r="B67" s="2" t="str">
        <f t="shared" si="7"/>
        <v>I</v>
      </c>
      <c r="C67" s="8">
        <f t="shared" si="8"/>
        <v>46763.351000000002</v>
      </c>
      <c r="D67" s="10" t="str">
        <f t="shared" si="9"/>
        <v>vis</v>
      </c>
      <c r="E67" s="54">
        <f>VLOOKUP(C67,Active!C$21:E$971,3,FALSE)</f>
        <v>6496.0532529891607</v>
      </c>
      <c r="F67" s="2" t="s">
        <v>66</v>
      </c>
      <c r="G67" s="10" t="str">
        <f t="shared" si="10"/>
        <v>46763.351</v>
      </c>
      <c r="H67" s="8">
        <f t="shared" si="11"/>
        <v>6496</v>
      </c>
      <c r="I67" s="55" t="s">
        <v>213</v>
      </c>
      <c r="J67" s="56" t="s">
        <v>214</v>
      </c>
      <c r="K67" s="55">
        <v>6496</v>
      </c>
      <c r="L67" s="55" t="s">
        <v>215</v>
      </c>
      <c r="M67" s="56" t="s">
        <v>73</v>
      </c>
      <c r="N67" s="56"/>
      <c r="O67" s="57" t="s">
        <v>151</v>
      </c>
      <c r="P67" s="57" t="s">
        <v>152</v>
      </c>
    </row>
    <row r="68" spans="1:16" ht="12.75" customHeight="1" thickBot="1" x14ac:dyDescent="0.25">
      <c r="A68" s="8" t="str">
        <f t="shared" si="6"/>
        <v> MVS 12.4 </v>
      </c>
      <c r="B68" s="2" t="str">
        <f t="shared" si="7"/>
        <v>I</v>
      </c>
      <c r="C68" s="8">
        <f t="shared" si="8"/>
        <v>47029.523999999998</v>
      </c>
      <c r="D68" s="10" t="str">
        <f t="shared" si="9"/>
        <v>vis</v>
      </c>
      <c r="E68" s="54">
        <f>VLOOKUP(C68,Active!C$21:E$971,3,FALSE)</f>
        <v>6585.0801591007303</v>
      </c>
      <c r="F68" s="2" t="s">
        <v>66</v>
      </c>
      <c r="G68" s="10" t="str">
        <f t="shared" si="10"/>
        <v>47029.524</v>
      </c>
      <c r="H68" s="8">
        <f t="shared" si="11"/>
        <v>6585</v>
      </c>
      <c r="I68" s="55" t="s">
        <v>216</v>
      </c>
      <c r="J68" s="56" t="s">
        <v>217</v>
      </c>
      <c r="K68" s="55">
        <v>6585</v>
      </c>
      <c r="L68" s="55" t="s">
        <v>218</v>
      </c>
      <c r="M68" s="56" t="s">
        <v>73</v>
      </c>
      <c r="N68" s="56"/>
      <c r="O68" s="57" t="s">
        <v>151</v>
      </c>
      <c r="P68" s="57" t="s">
        <v>152</v>
      </c>
    </row>
    <row r="69" spans="1:16" ht="12.75" customHeight="1" thickBot="1" x14ac:dyDescent="0.25">
      <c r="A69" s="8" t="str">
        <f t="shared" si="6"/>
        <v> MVS 12.4 </v>
      </c>
      <c r="B69" s="2" t="str">
        <f t="shared" si="7"/>
        <v>I</v>
      </c>
      <c r="C69" s="8">
        <f t="shared" si="8"/>
        <v>48132.555999999997</v>
      </c>
      <c r="D69" s="10" t="str">
        <f t="shared" si="9"/>
        <v>vis</v>
      </c>
      <c r="E69" s="54">
        <f>VLOOKUP(C69,Active!C$21:E$971,3,FALSE)</f>
        <v>6954.011366631391</v>
      </c>
      <c r="F69" s="2" t="s">
        <v>66</v>
      </c>
      <c r="G69" s="10" t="str">
        <f t="shared" si="10"/>
        <v>48132.556</v>
      </c>
      <c r="H69" s="8">
        <f t="shared" si="11"/>
        <v>6954</v>
      </c>
      <c r="I69" s="55" t="s">
        <v>219</v>
      </c>
      <c r="J69" s="56" t="s">
        <v>220</v>
      </c>
      <c r="K69" s="55">
        <v>6954</v>
      </c>
      <c r="L69" s="55" t="s">
        <v>221</v>
      </c>
      <c r="M69" s="56" t="s">
        <v>73</v>
      </c>
      <c r="N69" s="56"/>
      <c r="O69" s="57" t="s">
        <v>151</v>
      </c>
      <c r="P69" s="57" t="s">
        <v>152</v>
      </c>
    </row>
    <row r="70" spans="1:16" ht="12.75" customHeight="1" thickBot="1" x14ac:dyDescent="0.25">
      <c r="A70" s="8" t="str">
        <f t="shared" si="6"/>
        <v>BAVM 79 </v>
      </c>
      <c r="B70" s="2" t="str">
        <f t="shared" si="7"/>
        <v>I</v>
      </c>
      <c r="C70" s="8">
        <f t="shared" si="8"/>
        <v>48186.497000000003</v>
      </c>
      <c r="D70" s="10" t="str">
        <f t="shared" si="9"/>
        <v>vis</v>
      </c>
      <c r="E70" s="54">
        <f>VLOOKUP(C70,Active!C$21:E$971,3,FALSE)</f>
        <v>6972.0530175222202</v>
      </c>
      <c r="F70" s="2" t="s">
        <v>66</v>
      </c>
      <c r="G70" s="10" t="str">
        <f t="shared" si="10"/>
        <v>48186.497</v>
      </c>
      <c r="H70" s="8">
        <f t="shared" si="11"/>
        <v>6972</v>
      </c>
      <c r="I70" s="55" t="s">
        <v>222</v>
      </c>
      <c r="J70" s="56" t="s">
        <v>223</v>
      </c>
      <c r="K70" s="55">
        <v>6972</v>
      </c>
      <c r="L70" s="55" t="s">
        <v>215</v>
      </c>
      <c r="M70" s="56" t="s">
        <v>69</v>
      </c>
      <c r="N70" s="56"/>
      <c r="O70" s="57" t="s">
        <v>224</v>
      </c>
      <c r="P70" s="58" t="s">
        <v>225</v>
      </c>
    </row>
    <row r="71" spans="1:16" ht="12.75" customHeight="1" thickBot="1" x14ac:dyDescent="0.25">
      <c r="A71" s="8" t="str">
        <f t="shared" si="6"/>
        <v> BBS 121 </v>
      </c>
      <c r="B71" s="2" t="str">
        <f t="shared" si="7"/>
        <v>I</v>
      </c>
      <c r="C71" s="8">
        <f t="shared" si="8"/>
        <v>51140.413</v>
      </c>
      <c r="D71" s="10" t="str">
        <f t="shared" si="9"/>
        <v>vis</v>
      </c>
      <c r="E71" s="54">
        <f>VLOOKUP(C71,Active!C$21:E$971,3,FALSE)</f>
        <v>7960.0495550878923</v>
      </c>
      <c r="F71" s="2" t="s">
        <v>66</v>
      </c>
      <c r="G71" s="10" t="str">
        <f t="shared" si="10"/>
        <v>51140.413</v>
      </c>
      <c r="H71" s="8">
        <f t="shared" si="11"/>
        <v>7960</v>
      </c>
      <c r="I71" s="55" t="s">
        <v>233</v>
      </c>
      <c r="J71" s="56" t="s">
        <v>234</v>
      </c>
      <c r="K71" s="55">
        <v>7960</v>
      </c>
      <c r="L71" s="55" t="s">
        <v>235</v>
      </c>
      <c r="M71" s="56" t="s">
        <v>173</v>
      </c>
      <c r="N71" s="56"/>
      <c r="O71" s="57" t="s">
        <v>236</v>
      </c>
      <c r="P71" s="57" t="s">
        <v>237</v>
      </c>
    </row>
    <row r="72" spans="1:16" ht="12.75" customHeight="1" thickBot="1" x14ac:dyDescent="0.25">
      <c r="A72" s="8" t="str">
        <f t="shared" si="6"/>
        <v> BBS 121 </v>
      </c>
      <c r="B72" s="2" t="str">
        <f t="shared" si="7"/>
        <v>I</v>
      </c>
      <c r="C72" s="8">
        <f t="shared" si="8"/>
        <v>51185.284</v>
      </c>
      <c r="D72" s="10" t="str">
        <f t="shared" si="9"/>
        <v>vis</v>
      </c>
      <c r="E72" s="54">
        <f>VLOOKUP(C72,Active!C$21:E$971,3,FALSE)</f>
        <v>7975.057562301743</v>
      </c>
      <c r="F72" s="2" t="s">
        <v>66</v>
      </c>
      <c r="G72" s="10" t="str">
        <f t="shared" si="10"/>
        <v>51185.284</v>
      </c>
      <c r="H72" s="8">
        <f t="shared" si="11"/>
        <v>7975</v>
      </c>
      <c r="I72" s="55" t="s">
        <v>238</v>
      </c>
      <c r="J72" s="56" t="s">
        <v>239</v>
      </c>
      <c r="K72" s="55">
        <v>7975</v>
      </c>
      <c r="L72" s="55" t="s">
        <v>240</v>
      </c>
      <c r="M72" s="56" t="s">
        <v>173</v>
      </c>
      <c r="N72" s="56"/>
      <c r="O72" s="57" t="s">
        <v>236</v>
      </c>
      <c r="P72" s="57" t="s">
        <v>237</v>
      </c>
    </row>
    <row r="73" spans="1:16" ht="12.75" customHeight="1" thickBot="1" x14ac:dyDescent="0.25">
      <c r="A73" s="8" t="str">
        <f t="shared" si="6"/>
        <v> BBS 121 </v>
      </c>
      <c r="B73" s="2" t="str">
        <f t="shared" si="7"/>
        <v>I</v>
      </c>
      <c r="C73" s="8">
        <f t="shared" si="8"/>
        <v>51424.453999999998</v>
      </c>
      <c r="D73" s="10" t="str">
        <f t="shared" si="9"/>
        <v>vis</v>
      </c>
      <c r="E73" s="54">
        <f>VLOOKUP(C73,Active!C$21:E$971,3,FALSE)</f>
        <v>8055.0527726901155</v>
      </c>
      <c r="F73" s="2" t="s">
        <v>66</v>
      </c>
      <c r="G73" s="10" t="str">
        <f t="shared" si="10"/>
        <v>51424.454</v>
      </c>
      <c r="H73" s="8">
        <f t="shared" si="11"/>
        <v>8055</v>
      </c>
      <c r="I73" s="55" t="s">
        <v>245</v>
      </c>
      <c r="J73" s="56" t="s">
        <v>246</v>
      </c>
      <c r="K73" s="55">
        <v>8055</v>
      </c>
      <c r="L73" s="55" t="s">
        <v>247</v>
      </c>
      <c r="M73" s="56" t="s">
        <v>173</v>
      </c>
      <c r="N73" s="56"/>
      <c r="O73" s="57" t="s">
        <v>236</v>
      </c>
      <c r="P73" s="57" t="s">
        <v>237</v>
      </c>
    </row>
    <row r="74" spans="1:16" ht="12.75" customHeight="1" thickBot="1" x14ac:dyDescent="0.25">
      <c r="A74" s="8" t="str">
        <f t="shared" si="6"/>
        <v> AOEB 12 </v>
      </c>
      <c r="B74" s="2" t="str">
        <f t="shared" si="7"/>
        <v>I</v>
      </c>
      <c r="C74" s="8">
        <f t="shared" si="8"/>
        <v>52264.578999999998</v>
      </c>
      <c r="D74" s="10" t="str">
        <f t="shared" si="9"/>
        <v>vis</v>
      </c>
      <c r="E74" s="54">
        <f>VLOOKUP(C74,Active!C$21:E$971,3,FALSE)</f>
        <v>8336.0494534089867</v>
      </c>
      <c r="F74" s="2" t="s">
        <v>66</v>
      </c>
      <c r="G74" s="10" t="str">
        <f t="shared" si="10"/>
        <v>52264.5790</v>
      </c>
      <c r="H74" s="8">
        <f t="shared" si="11"/>
        <v>8336</v>
      </c>
      <c r="I74" s="55" t="s">
        <v>248</v>
      </c>
      <c r="J74" s="56" t="s">
        <v>249</v>
      </c>
      <c r="K74" s="55">
        <v>8336</v>
      </c>
      <c r="L74" s="55" t="s">
        <v>250</v>
      </c>
      <c r="M74" s="56" t="s">
        <v>251</v>
      </c>
      <c r="N74" s="56" t="s">
        <v>252</v>
      </c>
      <c r="O74" s="57" t="s">
        <v>253</v>
      </c>
      <c r="P74" s="57" t="s">
        <v>175</v>
      </c>
    </row>
    <row r="75" spans="1:16" ht="12.75" customHeight="1" thickBot="1" x14ac:dyDescent="0.25">
      <c r="A75" s="8" t="str">
        <f t="shared" ref="A75:A80" si="12">P75</f>
        <v>IBVS 5371 </v>
      </c>
      <c r="B75" s="2" t="str">
        <f t="shared" ref="B75:B80" si="13">IF(H75=INT(H75),"I","II")</f>
        <v>I</v>
      </c>
      <c r="C75" s="8">
        <f t="shared" ref="C75:C80" si="14">1*G75</f>
        <v>52524.694199999998</v>
      </c>
      <c r="D75" s="10" t="str">
        <f t="shared" ref="D75:D80" si="15">VLOOKUP(F75,I$1:J$5,2,FALSE)</f>
        <v>vis</v>
      </c>
      <c r="E75" s="54" t="e">
        <f>VLOOKUP(C75,Active!C$21:E$971,3,FALSE)</f>
        <v>#N/A</v>
      </c>
      <c r="F75" s="2" t="s">
        <v>66</v>
      </c>
      <c r="G75" s="10" t="str">
        <f t="shared" ref="G75:G80" si="16">MID(I75,3,LEN(I75)-3)</f>
        <v>52524.6942</v>
      </c>
      <c r="H75" s="8">
        <f t="shared" ref="H75:H80" si="17">1*K75</f>
        <v>8423</v>
      </c>
      <c r="I75" s="55" t="s">
        <v>254</v>
      </c>
      <c r="J75" s="56" t="s">
        <v>255</v>
      </c>
      <c r="K75" s="55">
        <v>8423</v>
      </c>
      <c r="L75" s="55" t="s">
        <v>256</v>
      </c>
      <c r="M75" s="56" t="s">
        <v>229</v>
      </c>
      <c r="N75" s="56" t="s">
        <v>257</v>
      </c>
      <c r="O75" s="57" t="s">
        <v>258</v>
      </c>
      <c r="P75" s="58" t="s">
        <v>259</v>
      </c>
    </row>
    <row r="76" spans="1:16" ht="12.75" customHeight="1" thickBot="1" x14ac:dyDescent="0.25">
      <c r="A76" s="8" t="str">
        <f t="shared" si="12"/>
        <v> AOEB 12 </v>
      </c>
      <c r="B76" s="2" t="str">
        <f t="shared" si="13"/>
        <v>I</v>
      </c>
      <c r="C76" s="8">
        <f t="shared" si="14"/>
        <v>52557.581400000003</v>
      </c>
      <c r="D76" s="10" t="str">
        <f t="shared" si="15"/>
        <v>vis</v>
      </c>
      <c r="E76" s="54">
        <f>VLOOKUP(C76,Active!C$21:E$971,3,FALSE)</f>
        <v>8434.049991236885</v>
      </c>
      <c r="F76" s="2" t="s">
        <v>66</v>
      </c>
      <c r="G76" s="10" t="str">
        <f t="shared" si="16"/>
        <v>52557.5814</v>
      </c>
      <c r="H76" s="8">
        <f t="shared" si="17"/>
        <v>8434</v>
      </c>
      <c r="I76" s="55" t="s">
        <v>260</v>
      </c>
      <c r="J76" s="56" t="s">
        <v>261</v>
      </c>
      <c r="K76" s="55">
        <v>8434</v>
      </c>
      <c r="L76" s="55" t="s">
        <v>262</v>
      </c>
      <c r="M76" s="56" t="s">
        <v>251</v>
      </c>
      <c r="N76" s="56" t="s">
        <v>252</v>
      </c>
      <c r="O76" s="57" t="s">
        <v>253</v>
      </c>
      <c r="P76" s="57" t="s">
        <v>175</v>
      </c>
    </row>
    <row r="77" spans="1:16" ht="12.75" customHeight="1" thickBot="1" x14ac:dyDescent="0.25">
      <c r="A77" s="8" t="str">
        <f t="shared" si="12"/>
        <v> AOEB 12 </v>
      </c>
      <c r="B77" s="2" t="str">
        <f t="shared" si="13"/>
        <v>I</v>
      </c>
      <c r="C77" s="8">
        <f t="shared" si="14"/>
        <v>52557.590100000001</v>
      </c>
      <c r="D77" s="10" t="str">
        <f t="shared" si="15"/>
        <v>vis</v>
      </c>
      <c r="E77" s="54">
        <f>VLOOKUP(C77,Active!C$21:E$971,3,FALSE)</f>
        <v>8434.0529011266299</v>
      </c>
      <c r="F77" s="2" t="s">
        <v>66</v>
      </c>
      <c r="G77" s="10" t="str">
        <f t="shared" si="16"/>
        <v>52557.5901</v>
      </c>
      <c r="H77" s="8">
        <f t="shared" si="17"/>
        <v>8434</v>
      </c>
      <c r="I77" s="55" t="s">
        <v>263</v>
      </c>
      <c r="J77" s="56" t="s">
        <v>264</v>
      </c>
      <c r="K77" s="55">
        <v>8434</v>
      </c>
      <c r="L77" s="55" t="s">
        <v>265</v>
      </c>
      <c r="M77" s="56" t="s">
        <v>251</v>
      </c>
      <c r="N77" s="56" t="s">
        <v>252</v>
      </c>
      <c r="O77" s="57" t="s">
        <v>174</v>
      </c>
      <c r="P77" s="57" t="s">
        <v>175</v>
      </c>
    </row>
    <row r="78" spans="1:16" ht="12.75" customHeight="1" thickBot="1" x14ac:dyDescent="0.25">
      <c r="A78" s="8" t="str">
        <f t="shared" si="12"/>
        <v> AOEB 12 </v>
      </c>
      <c r="B78" s="2" t="str">
        <f t="shared" si="13"/>
        <v>I</v>
      </c>
      <c r="C78" s="8">
        <f t="shared" si="14"/>
        <v>53672.792699999998</v>
      </c>
      <c r="D78" s="10" t="str">
        <f t="shared" si="15"/>
        <v>vis</v>
      </c>
      <c r="E78" s="54">
        <f>VLOOKUP(C78,Active!C$21:E$971,3,FALSE)</f>
        <v>8807.0548102818775</v>
      </c>
      <c r="F78" s="2" t="s">
        <v>66</v>
      </c>
      <c r="G78" s="10" t="str">
        <f t="shared" si="16"/>
        <v>53672.7927</v>
      </c>
      <c r="H78" s="8">
        <f t="shared" si="17"/>
        <v>8807</v>
      </c>
      <c r="I78" s="55" t="s">
        <v>266</v>
      </c>
      <c r="J78" s="56" t="s">
        <v>267</v>
      </c>
      <c r="K78" s="55">
        <v>8807</v>
      </c>
      <c r="L78" s="55" t="s">
        <v>268</v>
      </c>
      <c r="M78" s="56" t="s">
        <v>251</v>
      </c>
      <c r="N78" s="56" t="s">
        <v>252</v>
      </c>
      <c r="O78" s="57" t="s">
        <v>174</v>
      </c>
      <c r="P78" s="57" t="s">
        <v>175</v>
      </c>
    </row>
    <row r="79" spans="1:16" ht="12.75" customHeight="1" thickBot="1" x14ac:dyDescent="0.25">
      <c r="A79" s="8" t="str">
        <f t="shared" si="12"/>
        <v> AOEB 12 </v>
      </c>
      <c r="B79" s="2" t="str">
        <f t="shared" si="13"/>
        <v>I</v>
      </c>
      <c r="C79" s="8">
        <f t="shared" si="14"/>
        <v>54016.626199999999</v>
      </c>
      <c r="D79" s="10" t="str">
        <f t="shared" si="15"/>
        <v>vis</v>
      </c>
      <c r="E79" s="54">
        <f>VLOOKUP(C79,Active!C$21:E$971,3,FALSE)</f>
        <v>8922.056830481195</v>
      </c>
      <c r="F79" s="2" t="s">
        <v>66</v>
      </c>
      <c r="G79" s="10" t="str">
        <f t="shared" si="16"/>
        <v>54016.6262</v>
      </c>
      <c r="H79" s="8">
        <f t="shared" si="17"/>
        <v>8922</v>
      </c>
      <c r="I79" s="55" t="s">
        <v>269</v>
      </c>
      <c r="J79" s="56" t="s">
        <v>270</v>
      </c>
      <c r="K79" s="55">
        <v>8922</v>
      </c>
      <c r="L79" s="55" t="s">
        <v>271</v>
      </c>
      <c r="M79" s="56" t="s">
        <v>251</v>
      </c>
      <c r="N79" s="56" t="s">
        <v>252</v>
      </c>
      <c r="O79" s="57" t="s">
        <v>182</v>
      </c>
      <c r="P79" s="57" t="s">
        <v>175</v>
      </c>
    </row>
    <row r="80" spans="1:16" ht="12.75" customHeight="1" thickBot="1" x14ac:dyDescent="0.25">
      <c r="A80" s="8" t="str">
        <f t="shared" si="12"/>
        <v>OEJV 0073 </v>
      </c>
      <c r="B80" s="2" t="str">
        <f t="shared" si="13"/>
        <v>I</v>
      </c>
      <c r="C80" s="8">
        <f t="shared" si="14"/>
        <v>54351.487000000001</v>
      </c>
      <c r="D80" s="10" t="str">
        <f t="shared" si="15"/>
        <v>vis</v>
      </c>
      <c r="E80" s="54" t="e">
        <f>VLOOKUP(C80,Active!C$21:E$971,3,FALSE)</f>
        <v>#N/A</v>
      </c>
      <c r="F80" s="2" t="s">
        <v>66</v>
      </c>
      <c r="G80" s="10" t="str">
        <f t="shared" si="16"/>
        <v>54351.487</v>
      </c>
      <c r="H80" s="8">
        <f t="shared" si="17"/>
        <v>9034</v>
      </c>
      <c r="I80" s="55" t="s">
        <v>282</v>
      </c>
      <c r="J80" s="56" t="s">
        <v>283</v>
      </c>
      <c r="K80" s="55" t="s">
        <v>284</v>
      </c>
      <c r="L80" s="55" t="s">
        <v>285</v>
      </c>
      <c r="M80" s="56" t="s">
        <v>251</v>
      </c>
      <c r="N80" s="56" t="s">
        <v>230</v>
      </c>
      <c r="O80" s="57" t="s">
        <v>286</v>
      </c>
      <c r="P80" s="58" t="s">
        <v>287</v>
      </c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</sheetData>
  <phoneticPr fontId="8" type="noConversion"/>
  <hyperlinks>
    <hyperlink ref="A3" r:id="rId1" xr:uid="{00000000-0004-0000-0100-000000000000}"/>
    <hyperlink ref="P70" r:id="rId2" display="http://www.bav-astro.de/sfs/BAVM_link.php?BAVMnr=79" xr:uid="{00000000-0004-0000-0100-000001000000}"/>
    <hyperlink ref="P11" r:id="rId3" display="http://www.bav-astro.de/sfs/BAVM_link.php?BAVMnr=90" xr:uid="{00000000-0004-0000-0100-000002000000}"/>
    <hyperlink ref="P12" r:id="rId4" display="http://www.bav-astro.de/sfs/BAVM_link.php?BAVMnr=152" xr:uid="{00000000-0004-0000-0100-000003000000}"/>
    <hyperlink ref="P75" r:id="rId5" display="http://www.konkoly.hu/cgi-bin/IBVS?5371" xr:uid="{00000000-0004-0000-0100-000004000000}"/>
    <hyperlink ref="P13" r:id="rId6" display="http://www.bav-astro.de/sfs/BAVM_link.php?BAVMnr=183" xr:uid="{00000000-0004-0000-0100-000005000000}"/>
    <hyperlink ref="P14" r:id="rId7" display="http://www.bav-astro.de/sfs/BAVM_link.php?BAVMnr=183" xr:uid="{00000000-0004-0000-0100-000006000000}"/>
    <hyperlink ref="P80" r:id="rId8" display="http://var.astro.cz/oejv/issues/oejv0073.pdf" xr:uid="{00000000-0004-0000-0100-000007000000}"/>
    <hyperlink ref="P15" r:id="rId9" display="http://www.bav-astro.de/sfs/BAVM_link.php?BAVMnr=234" xr:uid="{00000000-0004-0000-0100-000008000000}"/>
    <hyperlink ref="P21" r:id="rId10" display="http://www.bav-astro.de/sfs/BAVM_link.php?BAVMnr=215" xr:uid="{00000000-0004-0000-0100-000009000000}"/>
    <hyperlink ref="P22" r:id="rId11" display="http://www.bav-astro.de/sfs/BAVM_link.php?BAVMnr=231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2023-01-26T06:15:13Z</dcterms:modified>
</cp:coreProperties>
</file>