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0638A9F-1FDC-4BA9-9B6C-4955C6533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/>
  <c r="G39" i="1" s="1"/>
  <c r="Q39" i="1"/>
  <c r="E36" i="1"/>
  <c r="F36" i="1"/>
  <c r="G36" i="1"/>
  <c r="E37" i="1"/>
  <c r="F37" i="1"/>
  <c r="G37" i="1"/>
  <c r="E38" i="1"/>
  <c r="F38" i="1"/>
  <c r="G38" i="1"/>
  <c r="Q36" i="1"/>
  <c r="Q37" i="1"/>
  <c r="Q38" i="1"/>
  <c r="E34" i="1"/>
  <c r="F34" i="1"/>
  <c r="G34" i="1"/>
  <c r="E35" i="1"/>
  <c r="F35" i="1"/>
  <c r="G35" i="1"/>
  <c r="E28" i="1"/>
  <c r="F28" i="1"/>
  <c r="G28" i="1"/>
  <c r="E29" i="1"/>
  <c r="F29" i="1"/>
  <c r="G29" i="1"/>
  <c r="E30" i="1"/>
  <c r="F30" i="1"/>
  <c r="G30" i="1"/>
  <c r="E31" i="1"/>
  <c r="F31" i="1"/>
  <c r="G31" i="1"/>
  <c r="E33" i="1"/>
  <c r="F33" i="1"/>
  <c r="G33" i="1"/>
  <c r="F27" i="1"/>
  <c r="G27" i="1"/>
  <c r="E32" i="1"/>
  <c r="F32" i="1"/>
  <c r="G32" i="1"/>
  <c r="C13" i="1"/>
  <c r="Q34" i="1"/>
  <c r="Q35" i="1"/>
  <c r="Q33" i="1"/>
  <c r="Q29" i="1"/>
  <c r="Q32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Q22" i="1"/>
  <c r="Q23" i="1"/>
  <c r="Q24" i="1"/>
  <c r="Q25" i="1"/>
  <c r="Q26" i="1"/>
  <c r="Q27" i="1"/>
  <c r="Q28" i="1"/>
  <c r="Q30" i="1"/>
  <c r="Q31" i="1"/>
  <c r="E21" i="1"/>
  <c r="F21" i="1"/>
  <c r="G21" i="1"/>
  <c r="F12" i="1"/>
  <c r="F13" i="1" s="1"/>
  <c r="D14" i="1"/>
  <c r="D13" i="1"/>
  <c r="C14" i="1"/>
  <c r="C17" i="1"/>
  <c r="Q21" i="1"/>
  <c r="R33" i="1"/>
  <c r="J33" i="1"/>
  <c r="J34" i="1"/>
  <c r="R34" i="1"/>
  <c r="R35" i="1"/>
  <c r="J35" i="1"/>
  <c r="J31" i="1"/>
  <c r="R31" i="1"/>
  <c r="J27" i="1"/>
  <c r="S27" i="1"/>
  <c r="J26" i="1"/>
  <c r="R26" i="1"/>
  <c r="R25" i="1"/>
  <c r="H25" i="1"/>
  <c r="R30" i="1"/>
  <c r="J30" i="1"/>
  <c r="J38" i="1"/>
  <c r="R38" i="1"/>
  <c r="H23" i="1"/>
  <c r="R23" i="1"/>
  <c r="S32" i="1"/>
  <c r="J32" i="1"/>
  <c r="R37" i="1"/>
  <c r="J37" i="1"/>
  <c r="H24" i="1"/>
  <c r="S24" i="1"/>
  <c r="J29" i="1"/>
  <c r="R29" i="1"/>
  <c r="R21" i="1"/>
  <c r="H21" i="1"/>
  <c r="S22" i="1"/>
  <c r="I22" i="1"/>
  <c r="R28" i="1"/>
  <c r="J28" i="1"/>
  <c r="J36" i="1"/>
  <c r="R36" i="1"/>
  <c r="S19" i="1"/>
  <c r="E19" i="1" s="1"/>
  <c r="D12" i="1"/>
  <c r="D11" i="1"/>
  <c r="P39" i="1" l="1"/>
  <c r="K39" i="1"/>
  <c r="R39" i="1"/>
  <c r="D16" i="1"/>
  <c r="D19" i="1" s="1"/>
  <c r="P38" i="1"/>
  <c r="P37" i="1"/>
  <c r="P34" i="1"/>
  <c r="P22" i="1"/>
  <c r="P23" i="1"/>
  <c r="P26" i="1"/>
  <c r="P33" i="1"/>
  <c r="P31" i="1"/>
  <c r="P25" i="1"/>
  <c r="P32" i="1"/>
  <c r="P24" i="1"/>
  <c r="P27" i="1"/>
  <c r="P21" i="1"/>
  <c r="P30" i="1"/>
  <c r="D15" i="1"/>
  <c r="C19" i="1" s="1"/>
  <c r="P28" i="1"/>
  <c r="P35" i="1"/>
  <c r="P36" i="1"/>
  <c r="P29" i="1"/>
  <c r="C12" i="1"/>
  <c r="C11" i="1"/>
  <c r="C16" i="1" l="1"/>
  <c r="D18" i="1" s="1"/>
  <c r="O39" i="1"/>
  <c r="O28" i="1"/>
  <c r="O38" i="1"/>
  <c r="O26" i="1"/>
  <c r="O25" i="1"/>
  <c r="O30" i="1"/>
  <c r="O27" i="1"/>
  <c r="O32" i="1"/>
  <c r="O35" i="1"/>
  <c r="O31" i="1"/>
  <c r="O22" i="1"/>
  <c r="O36" i="1"/>
  <c r="O29" i="1"/>
  <c r="C15" i="1"/>
  <c r="O24" i="1"/>
  <c r="O23" i="1"/>
  <c r="O37" i="1"/>
  <c r="O33" i="1"/>
  <c r="O21" i="1"/>
  <c r="O34" i="1"/>
  <c r="R19" i="1"/>
  <c r="E18" i="1" s="1"/>
  <c r="F14" i="1" l="1"/>
  <c r="F15" i="1" s="1"/>
  <c r="C18" i="1"/>
</calcChain>
</file>

<file path=xl/sharedStrings.xml><?xml version="1.0" encoding="utf-8"?>
<sst xmlns="http://schemas.openxmlformats.org/spreadsheetml/2006/main" count="87" uniqueCount="61">
  <si>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</si>
  <si>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</si>
  <si>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</si>
  <si>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</si>
  <si>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</si>
  <si>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</si>
  <si>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</si>
  <si>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</si>
  <si>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</si>
  <si>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</si>
  <si>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</si>
  <si>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</si>
  <si>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</si>
  <si>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</si>
  <si>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</si>
  <si>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</si>
  <si>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</si>
  <si>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</si>
  <si>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</si>
  <si>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</si>
  <si>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</si>
  <si>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</si>
  <si>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</si>
  <si>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</si>
  <si>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</si>
  <si>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</si>
  <si>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</si>
  <si>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</si>
  <si>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</si>
  <si>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</si>
  <si>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</si>
  <si>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</si>
  <si>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</si>
  <si>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</si>
  <si>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</si>
  <si>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</si>
  <si>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</si>
  <si>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</si>
  <si>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</si>
  <si>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</si>
  <si>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V1060 Cas / GSC 4017-0520</t>
  </si>
  <si>
    <t>EA</t>
  </si>
  <si>
    <t>Cas</t>
  </si>
  <si>
    <t>not avail.</t>
  </si>
  <si>
    <t>OEJV 0091</t>
  </si>
  <si>
    <t>IBVS 6018</t>
  </si>
  <si>
    <t>OEJV 0160</t>
  </si>
  <si>
    <t>I</t>
  </si>
  <si>
    <t>II</t>
  </si>
  <si>
    <t>IBVS 6070</t>
  </si>
  <si>
    <t>IBVS 6042</t>
  </si>
  <si>
    <t>IBVS 6118</t>
  </si>
  <si>
    <t>OEJV</t>
  </si>
  <si>
    <t>Nelson</t>
  </si>
  <si>
    <t>IBVS</t>
  </si>
  <si>
    <t>IBVS 6152</t>
  </si>
  <si>
    <t>OEJV 0168</t>
  </si>
  <si>
    <t>OEJV 0179</t>
  </si>
  <si>
    <t>OEJV 0211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</si>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</sst>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9" fillId="0" borderId="0"/>
    <xf numFmtId="0" fontId="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V1060 Cas - Prim. O-C Diagr.</a:t>
            </a:r>
          </a:p>
        </c:rich>
      </c:tx>
      <c:layout>
        <c:manualLayout>
          <c:xMode val="edge"/>
          <c:yMode val="edge"/>
          <c:x val="0.2723494906172071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0">
                  <c:v>0</c:v>
                </c:pt>
                <c:pt idx="2">
                  <c:v>-1.6089999997348059E-2</c:v>
                </c:pt>
                <c:pt idx="4">
                  <c:v>-1.840999999694759E-2</c:v>
                </c:pt>
                <c:pt idx="5">
                  <c:v>-1.771000000735512E-2</c:v>
                </c:pt>
                <c:pt idx="7">
                  <c:v>-1.5840000007301569E-2</c:v>
                </c:pt>
                <c:pt idx="8">
                  <c:v>-1.8710000003920868E-2</c:v>
                </c:pt>
                <c:pt idx="9">
                  <c:v>-2.0980000008421484E-2</c:v>
                </c:pt>
                <c:pt idx="10">
                  <c:v>-2.5640000007115304E-2</c:v>
                </c:pt>
                <c:pt idx="12">
                  <c:v>-2.297000000544358E-2</c:v>
                </c:pt>
                <c:pt idx="13">
                  <c:v>-2.0975000006728806E-2</c:v>
                </c:pt>
                <c:pt idx="14">
                  <c:v>-2.2049999999580905E-2</c:v>
                </c:pt>
                <c:pt idx="15">
                  <c:v>-2.6649999963410664E-2</c:v>
                </c:pt>
                <c:pt idx="16">
                  <c:v>-2.5959999831684399E-2</c:v>
                </c:pt>
                <c:pt idx="17">
                  <c:v>-2.4960000133432914E-2</c:v>
                </c:pt>
                <c:pt idx="18">
                  <c:v>-3.0965000005380716E-2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E-42D6-97AA-4E92FD662A0C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1.3102402600852214E-4</c:v>
                </c:pt>
                <c:pt idx="1">
                  <c:v>-1.6991534823850286E-2</c:v>
                </c:pt>
                <c:pt idx="2">
                  <c:v>-1.7162655644499498E-2</c:v>
                </c:pt>
                <c:pt idx="3">
                  <c:v>-1.8332563295876757E-2</c:v>
                </c:pt>
                <c:pt idx="4">
                  <c:v>-1.8336055557522657E-2</c:v>
                </c:pt>
                <c:pt idx="5">
                  <c:v>-1.8636390059070251E-2</c:v>
                </c:pt>
                <c:pt idx="6">
                  <c:v>-1.8639882320716155E-2</c:v>
                </c:pt>
                <c:pt idx="7">
                  <c:v>-1.8783065048198148E-2</c:v>
                </c:pt>
                <c:pt idx="8">
                  <c:v>-1.9739944739175369E-2</c:v>
                </c:pt>
                <c:pt idx="9">
                  <c:v>-1.9816774495385218E-2</c:v>
                </c:pt>
                <c:pt idx="10">
                  <c:v>-2.0040279240722964E-2</c:v>
                </c:pt>
                <c:pt idx="11">
                  <c:v>-2.1105419042723155E-2</c:v>
                </c:pt>
                <c:pt idx="12">
                  <c:v>-2.1444168422375676E-2</c:v>
                </c:pt>
                <c:pt idx="13">
                  <c:v>-2.2586137980585716E-2</c:v>
                </c:pt>
                <c:pt idx="14">
                  <c:v>-2.4300838448723727E-2</c:v>
                </c:pt>
                <c:pt idx="15">
                  <c:v>-2.5355501465786211E-2</c:v>
                </c:pt>
                <c:pt idx="16">
                  <c:v>-2.5355501465786211E-2</c:v>
                </c:pt>
                <c:pt idx="17">
                  <c:v>-2.5355501465786211E-2</c:v>
                </c:pt>
                <c:pt idx="18">
                  <c:v>-3.1128209966462657E-2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E-42D6-97AA-4E92FD66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271384"/>
        <c:axId val="1"/>
      </c:scatterChart>
      <c:valAx>
        <c:axId val="46427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27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V1060 Cas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1.1599999999999999E-2</c:v>
                  </c:pt>
                  <c:pt idx="6">
                    <c:v>2.0999999999999999E-3</c:v>
                  </c:pt>
                  <c:pt idx="7">
                    <c:v>6.0000000000000006E-4</c:v>
                  </c:pt>
                  <c:pt idx="8">
                    <c:v>1E-4</c:v>
                  </c:pt>
                  <c:pt idx="9">
                    <c:v>6.6E-3</c:v>
                  </c:pt>
                  <c:pt idx="10">
                    <c:v>8.2000000000000007E-3</c:v>
                  </c:pt>
                  <c:pt idx="11">
                    <c:v>2.0000000000000001E-4</c:v>
                  </c:pt>
                  <c:pt idx="12">
                    <c:v>5.4000000000000003E-3</c:v>
                  </c:pt>
                  <c:pt idx="13">
                    <c:v>9.2999999999999992E-3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2.2000000000000001E-3</c:v>
                  </c:pt>
                </c:numCache>
              </c:numRef>
            </c:plus>
            <c:min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1.1599999999999999E-2</c:v>
                  </c:pt>
                  <c:pt idx="6">
                    <c:v>2.0999999999999999E-3</c:v>
                  </c:pt>
                  <c:pt idx="7">
                    <c:v>6.0000000000000006E-4</c:v>
                  </c:pt>
                  <c:pt idx="8">
                    <c:v>1E-4</c:v>
                  </c:pt>
                  <c:pt idx="9">
                    <c:v>6.6E-3</c:v>
                  </c:pt>
                  <c:pt idx="10">
                    <c:v>8.2000000000000007E-3</c:v>
                  </c:pt>
                  <c:pt idx="11">
                    <c:v>2.0000000000000001E-4</c:v>
                  </c:pt>
                  <c:pt idx="12">
                    <c:v>5.4000000000000003E-3</c:v>
                  </c:pt>
                  <c:pt idx="13">
                    <c:v>9.2999999999999992E-3</c:v>
                  </c:pt>
                  <c:pt idx="14">
                    <c:v>2.0000000000000001E-4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0">
                  <c:v>0</c:v>
                </c:pt>
                <c:pt idx="2">
                  <c:v>-1.6089999997348059E-2</c:v>
                </c:pt>
                <c:pt idx="3">
                  <c:v>-1.7934999996214174E-2</c:v>
                </c:pt>
                <c:pt idx="4">
                  <c:v>-1.840999999694759E-2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9B-43BD-8B7A-9FE5E16BF2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1">
                  <c:v>-0.10964500000409316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9B-43BD-8B7A-9FE5E16BF2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5">
                  <c:v>-1.771000000735512E-2</c:v>
                </c:pt>
                <c:pt idx="6">
                  <c:v>-1.8225000007078052E-2</c:v>
                </c:pt>
                <c:pt idx="7">
                  <c:v>-1.5840000007301569E-2</c:v>
                </c:pt>
                <c:pt idx="8">
                  <c:v>-1.8710000003920868E-2</c:v>
                </c:pt>
                <c:pt idx="9">
                  <c:v>-2.0980000008421484E-2</c:v>
                </c:pt>
                <c:pt idx="10">
                  <c:v>-2.5640000007115304E-2</c:v>
                </c:pt>
                <c:pt idx="11">
                  <c:v>-2.3845000003348105E-2</c:v>
                </c:pt>
                <c:pt idx="12">
                  <c:v>-2.297000000544358E-2</c:v>
                </c:pt>
                <c:pt idx="13">
                  <c:v>-2.0975000006728806E-2</c:v>
                </c:pt>
                <c:pt idx="14">
                  <c:v>-2.2049999999580905E-2</c:v>
                </c:pt>
                <c:pt idx="15">
                  <c:v>-2.6649999963410664E-2</c:v>
                </c:pt>
                <c:pt idx="16">
                  <c:v>-2.5959999831684399E-2</c:v>
                </c:pt>
                <c:pt idx="17">
                  <c:v>-2.4960000133432914E-2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9B-43BD-8B7A-9FE5E16BF2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18">
                  <c:v>-3.0965000005380716E-2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9B-43BD-8B7A-9FE5E16BF2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9B-43BD-8B7A-9FE5E16BF2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9B-43BD-8B7A-9FE5E16BF2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9B-43BD-8B7A-9FE5E16BF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268760"/>
        <c:axId val="1"/>
      </c:scatterChart>
      <c:valAx>
        <c:axId val="464268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268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354838709677421"/>
          <c:y val="0.92097264437689974"/>
          <c:w val="0.4080645161290323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V1060 Cas - Sec. O-C Diagr.</a:t>
            </a:r>
          </a:p>
        </c:rich>
      </c:tx>
      <c:layout>
        <c:manualLayout>
          <c:xMode val="edge"/>
          <c:yMode val="edge"/>
          <c:x val="0.2816328673201564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14293401520050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1">
                  <c:v>-0.10964500000409316</c:v>
                </c:pt>
                <c:pt idx="3">
                  <c:v>-1.7934999996214174E-2</c:v>
                </c:pt>
                <c:pt idx="6">
                  <c:v>-1.8225000007078052E-2</c:v>
                </c:pt>
                <c:pt idx="11">
                  <c:v>-2.3845000003348105E-2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60-4A82-BD0F-4C65FEE2CED3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2451.5</c:v>
                </c:pt>
                <c:pt idx="2">
                  <c:v>2476</c:v>
                </c:pt>
                <c:pt idx="3">
                  <c:v>2643.5</c:v>
                </c:pt>
                <c:pt idx="4">
                  <c:v>2644</c:v>
                </c:pt>
                <c:pt idx="5">
                  <c:v>2687</c:v>
                </c:pt>
                <c:pt idx="6">
                  <c:v>2687.5</c:v>
                </c:pt>
                <c:pt idx="7">
                  <c:v>2708</c:v>
                </c:pt>
                <c:pt idx="8">
                  <c:v>2845</c:v>
                </c:pt>
                <c:pt idx="9">
                  <c:v>2856</c:v>
                </c:pt>
                <c:pt idx="10">
                  <c:v>2888</c:v>
                </c:pt>
                <c:pt idx="11">
                  <c:v>3040.5</c:v>
                </c:pt>
                <c:pt idx="12">
                  <c:v>3089</c:v>
                </c:pt>
                <c:pt idx="13">
                  <c:v>3252.5</c:v>
                </c:pt>
                <c:pt idx="14">
                  <c:v>3498</c:v>
                </c:pt>
                <c:pt idx="15">
                  <c:v>3649</c:v>
                </c:pt>
                <c:pt idx="16">
                  <c:v>3649</c:v>
                </c:pt>
                <c:pt idx="17">
                  <c:v>3649</c:v>
                </c:pt>
                <c:pt idx="18">
                  <c:v>4475.5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-0.36164545765464962</c:v>
                </c:pt>
                <c:pt idx="1">
                  <c:v>-7.2409720545236256E-2</c:v>
                </c:pt>
                <c:pt idx="2">
                  <c:v>-6.9519132921666726E-2</c:v>
                </c:pt>
                <c:pt idx="3">
                  <c:v>-4.9756952229916052E-2</c:v>
                </c:pt>
                <c:pt idx="4">
                  <c:v>-4.9697960645761596E-2</c:v>
                </c:pt>
                <c:pt idx="5">
                  <c:v>-4.4624684408476334E-2</c:v>
                </c:pt>
                <c:pt idx="6">
                  <c:v>-4.4565692824321879E-2</c:v>
                </c:pt>
                <c:pt idx="7">
                  <c:v>-4.2147037873988213E-2</c:v>
                </c:pt>
                <c:pt idx="8">
                  <c:v>-2.5983343815660809E-2</c:v>
                </c:pt>
                <c:pt idx="9">
                  <c:v>-2.4685528964262238E-2</c:v>
                </c:pt>
                <c:pt idx="10">
                  <c:v>-2.0910067578375546E-2</c:v>
                </c:pt>
                <c:pt idx="11">
                  <c:v>-2.9176344112593067E-3</c:v>
                </c:pt>
                <c:pt idx="12">
                  <c:v>2.8045492517252413E-3</c:v>
                </c:pt>
                <c:pt idx="13">
                  <c:v>2.2094797270240052E-2</c:v>
                </c:pt>
                <c:pt idx="14">
                  <c:v>5.1059665090089523E-2</c:v>
                </c:pt>
                <c:pt idx="15">
                  <c:v>6.8875123504742342E-2</c:v>
                </c:pt>
                <c:pt idx="16">
                  <c:v>6.8875123504742342E-2</c:v>
                </c:pt>
                <c:pt idx="17">
                  <c:v>6.8875123504742342E-2</c:v>
                </c:pt>
                <c:pt idx="18">
                  <c:v>0.16638821211209709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60-4A82-BD0F-4C65FEE2C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269416"/>
        <c:axId val="1"/>
      </c:scatterChart>
      <c:valAx>
        <c:axId val="464269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26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D2A4507-AAC8-54B8-8434-512D3488E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504825</xdr:colOff>
      <xdr:row>0</xdr:row>
      <xdr:rowOff>95250</xdr:rowOff>
    </xdr:from>
    <xdr:to>
      <xdr:col>30</xdr:col>
      <xdr:colOff>238125</xdr:colOff>
      <xdr:row>18</xdr:row>
      <xdr:rowOff>142875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26DED7E2-F3C0-5EFC-39D7-457787615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47625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6A920C4C-B6AC-3DC6-0E55-210217893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workbookViewId="0">
      <selection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42578125" customWidth="1"/>
    <col min="4" max="4" width="8.28515625" customWidth="1"/>
    <col min="5" max="5" width="9.4257812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17</v>
      </c>
      <c r="B2" t="s">
        <v>41</v>
      </c>
      <c r="D2" s="25" t="s">
        <v>42</v>
      </c>
    </row>
    <row r="3" spans="1:6" ht="13.5" thickBot="1"/>
    <row r="4" spans="1:6" ht="14.25" thickTop="1" thickBot="1">
      <c r="A4" s="6" t="s">
        <v>1</v>
      </c>
      <c r="C4" s="26" t="s">
        <v>43</v>
      </c>
      <c r="D4" s="27" t="s">
        <v>43</v>
      </c>
    </row>
    <row r="5" spans="1:6" ht="13.5" thickTop="1">
      <c r="A5" s="18" t="s">
        <v>32</v>
      </c>
      <c r="B5" s="12"/>
      <c r="C5" s="19">
        <v>-9.5</v>
      </c>
      <c r="D5" s="12" t="s">
        <v>33</v>
      </c>
    </row>
    <row r="6" spans="1:6">
      <c r="A6" s="6" t="s">
        <v>2</v>
      </c>
    </row>
    <row r="7" spans="1:6">
      <c r="A7" t="s">
        <v>3</v>
      </c>
      <c r="C7">
        <v>51339.87</v>
      </c>
      <c r="D7" s="28" t="s">
        <v>44</v>
      </c>
    </row>
    <row r="8" spans="1:6">
      <c r="A8" t="s">
        <v>4</v>
      </c>
      <c r="C8">
        <v>1.81603</v>
      </c>
      <c r="D8" s="28" t="s">
        <v>44</v>
      </c>
    </row>
    <row r="9" spans="1:6">
      <c r="A9" s="10" t="s">
        <v>29</v>
      </c>
      <c r="B9" s="10"/>
      <c r="C9" s="11">
        <v>21</v>
      </c>
      <c r="D9" s="11">
        <v>21</v>
      </c>
    </row>
    <row r="10" spans="1:6" ht="13.5" thickBot="1">
      <c r="A10" s="12"/>
      <c r="B10" s="12"/>
      <c r="C10" s="5" t="s">
        <v>19</v>
      </c>
      <c r="D10" s="5" t="s">
        <v>20</v>
      </c>
    </row>
    <row r="11" spans="1:6">
      <c r="A11" s="12" t="s">
        <v>14</v>
      </c>
      <c r="B11" s="12"/>
      <c r="C11" s="13">
        <f ca="1">INTERCEPT(INDIRECT(C14):R$935,INDIRECT(C13):$F$935)</f>
        <v>1.3102402600852214E-4</v>
      </c>
      <c r="D11" s="13">
        <f ca="1">INTERCEPT(INDIRECT(D14):S$935,INDIRECT(D13):$F$935)</f>
        <v>-0.36164545765464962</v>
      </c>
      <c r="E11" s="10" t="s">
        <v>35</v>
      </c>
      <c r="F11">
        <v>1</v>
      </c>
    </row>
    <row r="12" spans="1:6">
      <c r="A12" s="12" t="s">
        <v>15</v>
      </c>
      <c r="B12" s="12"/>
      <c r="C12" s="13">
        <f ca="1">SLOPE(INDIRECT(C14):R$935,INDIRECT(C13):$F$935)</f>
        <v>-6.9845232918045311E-6</v>
      </c>
      <c r="D12" s="13">
        <f ca="1">SLOPE(INDIRECT(D14):S$935,INDIRECT(D13):$F$935)</f>
        <v>1.1798316830895916E-4</v>
      </c>
      <c r="E12" s="10" t="s">
        <v>36</v>
      </c>
      <c r="F12" s="20">
        <f ca="1">NOW()+15018.5+$C$5/24</f>
        <v>59970.812309490735</v>
      </c>
    </row>
    <row r="13" spans="1:6">
      <c r="A13" s="10" t="s">
        <v>30</v>
      </c>
      <c r="B13" s="10"/>
      <c r="C13" s="11" t="str">
        <f>"F"&amp;C9</f>
        <v>F21</v>
      </c>
      <c r="D13" s="11" t="str">
        <f>"F"&amp;D9</f>
        <v>F21</v>
      </c>
      <c r="E13" s="10" t="s">
        <v>37</v>
      </c>
      <c r="F13" s="20">
        <f ca="1">ROUND(2*(F12-$C$7)/$C$8,0)/2+F11</f>
        <v>4753.5</v>
      </c>
    </row>
    <row r="14" spans="1:6">
      <c r="A14" s="10" t="s">
        <v>31</v>
      </c>
      <c r="B14" s="10"/>
      <c r="C14" s="11" t="str">
        <f>"R"&amp;C9</f>
        <v>R21</v>
      </c>
      <c r="D14" s="11" t="str">
        <f>"S"&amp;D9</f>
        <v>S21</v>
      </c>
      <c r="E14" s="10" t="s">
        <v>38</v>
      </c>
      <c r="F14" s="21">
        <f ca="1">ROUND(2*(F12-$C$15)/$C$16,0)/2+F11</f>
        <v>278.5</v>
      </c>
    </row>
    <row r="15" spans="1:6">
      <c r="A15" s="14" t="s">
        <v>16</v>
      </c>
      <c r="B15" s="12"/>
      <c r="C15" s="15">
        <f ca="1">($C7+C11)+($C8+C12)*INT(MAX($F21:$F3533))</f>
        <v>59466.573125282295</v>
      </c>
      <c r="D15" s="15">
        <f ca="1">($C7+D11)+($C8+D12)*INT(MAX($F21:$F3533))</f>
        <v>59466.770579220531</v>
      </c>
      <c r="E15" s="10" t="s">
        <v>39</v>
      </c>
      <c r="F15" s="22">
        <f ca="1">+$C$15+$C$16*F14-15018.5-$C$5/24</f>
        <v>44954.231368425892</v>
      </c>
    </row>
    <row r="16" spans="1:6">
      <c r="A16" s="16" t="s">
        <v>5</v>
      </c>
      <c r="B16" s="12"/>
      <c r="C16" s="17">
        <f ca="1">+$C8+C12</f>
        <v>1.8160230154767083</v>
      </c>
      <c r="D16" s="13">
        <f ca="1">+$C8+D12</f>
        <v>1.8161479831683089</v>
      </c>
      <c r="E16" s="23"/>
      <c r="F16" s="23" t="s">
        <v>34</v>
      </c>
    </row>
    <row r="17" spans="1:19" ht="13.5" thickBot="1">
      <c r="A17" s="9" t="s">
        <v>28</v>
      </c>
      <c r="C17">
        <f>COUNT(C21:C1247)</f>
        <v>19</v>
      </c>
    </row>
    <row r="18" spans="1:19" ht="14.25" thickTop="1" thickBot="1">
      <c r="A18" s="6" t="s">
        <v>22</v>
      </c>
      <c r="C18" s="3">
        <f ca="1">+C15</f>
        <v>59466.573125282295</v>
      </c>
      <c r="D18" s="4">
        <f ca="1">+C16</f>
        <v>1.8160230154767083</v>
      </c>
      <c r="E18" s="24">
        <f>R19</f>
        <v>15</v>
      </c>
    </row>
    <row r="19" spans="1:19" ht="14.25" thickTop="1" thickBot="1">
      <c r="A19" s="6" t="s">
        <v>23</v>
      </c>
      <c r="C19" s="3">
        <f ca="1">+D15</f>
        <v>59466.770579220531</v>
      </c>
      <c r="D19" s="4">
        <f ca="1">+D16</f>
        <v>1.8161479831683089</v>
      </c>
      <c r="E19" s="24">
        <f>S19</f>
        <v>4</v>
      </c>
      <c r="R19">
        <f>COUNT(R21:R322)</f>
        <v>15</v>
      </c>
      <c r="S19">
        <f>COUNT(S21:S322)</f>
        <v>4</v>
      </c>
    </row>
    <row r="20" spans="1:19" ht="14.25" thickTop="1" thickBot="1">
      <c r="A20" s="5" t="s">
        <v>6</v>
      </c>
      <c r="B20" s="5" t="s">
        <v>7</v>
      </c>
      <c r="C20" s="5" t="s">
        <v>8</v>
      </c>
      <c r="D20" s="5" t="s">
        <v>12</v>
      </c>
      <c r="E20" s="5" t="s">
        <v>9</v>
      </c>
      <c r="F20" s="5" t="s">
        <v>10</v>
      </c>
      <c r="G20" s="5" t="s">
        <v>11</v>
      </c>
      <c r="H20" s="8" t="s">
        <v>52</v>
      </c>
      <c r="I20" s="8" t="s">
        <v>53</v>
      </c>
      <c r="J20" s="8" t="s">
        <v>54</v>
      </c>
      <c r="K20" s="8" t="s">
        <v>60</v>
      </c>
      <c r="L20" s="8" t="s">
        <v>26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7" t="s">
        <v>19</v>
      </c>
      <c r="S20" s="7" t="s">
        <v>20</v>
      </c>
    </row>
    <row r="21" spans="1:19">
      <c r="A21" s="29" t="s">
        <v>44</v>
      </c>
      <c r="C21" s="30">
        <v>51339.87</v>
      </c>
      <c r="D21" s="30" t="s">
        <v>27</v>
      </c>
      <c r="E21">
        <f>+(C21-C$7)/C$8</f>
        <v>0</v>
      </c>
      <c r="F21">
        <f t="shared" ref="F21:F38" si="0">ROUND(2*E21,0)/2</f>
        <v>0</v>
      </c>
      <c r="G21">
        <f>+C21-(C$7+F21*C$8)</f>
        <v>0</v>
      </c>
      <c r="H21">
        <f>+G21</f>
        <v>0</v>
      </c>
      <c r="O21">
        <f ca="1">+C$11+C$12*$F21</f>
        <v>1.3102402600852214E-4</v>
      </c>
      <c r="P21">
        <f ca="1">+D$11+D$12*$F21</f>
        <v>-0.36164545765464962</v>
      </c>
      <c r="Q21" s="2">
        <f>+C21-15018.5</f>
        <v>36321.370000000003</v>
      </c>
      <c r="R21">
        <f>G21</f>
        <v>0</v>
      </c>
    </row>
    <row r="22" spans="1:19">
      <c r="A22" s="6" t="s">
        <v>45</v>
      </c>
      <c r="C22" s="30">
        <v>55791.757899999997</v>
      </c>
      <c r="D22" s="30">
        <v>5.0000000000000001E-4</v>
      </c>
      <c r="E22">
        <f t="shared" ref="E22:E27" si="1">+(C22-C$7)/C$8</f>
        <v>2451.4396237947581</v>
      </c>
      <c r="F22">
        <f t="shared" si="0"/>
        <v>2451.5</v>
      </c>
      <c r="G22">
        <f t="shared" ref="G22:G27" si="2">+C22-(C$7+F22*C$8)</f>
        <v>-0.10964500000409316</v>
      </c>
      <c r="I22">
        <f>+G22</f>
        <v>-0.10964500000409316</v>
      </c>
      <c r="O22">
        <f t="shared" ref="O22:O27" ca="1" si="3">+C$11+C$12*$F22</f>
        <v>-1.6991534823850286E-2</v>
      </c>
      <c r="P22">
        <f t="shared" ref="P22:P27" ca="1" si="4">+D$11+D$12*$F22</f>
        <v>-7.2409720545236256E-2</v>
      </c>
      <c r="Q22" s="2">
        <f t="shared" ref="Q22:Q27" si="5">+C22-15018.5</f>
        <v>40773.257899999997</v>
      </c>
      <c r="S22">
        <f>G22</f>
        <v>-0.10964500000409316</v>
      </c>
    </row>
    <row r="23" spans="1:19">
      <c r="A23" s="31" t="s">
        <v>46</v>
      </c>
      <c r="B23" s="32" t="s">
        <v>47</v>
      </c>
      <c r="C23" s="33">
        <v>55836.344190000003</v>
      </c>
      <c r="D23" s="33">
        <v>1E-4</v>
      </c>
      <c r="E23">
        <f t="shared" si="1"/>
        <v>2475.9911400142073</v>
      </c>
      <c r="F23">
        <f t="shared" si="0"/>
        <v>2476</v>
      </c>
      <c r="G23">
        <f t="shared" si="2"/>
        <v>-1.6089999997348059E-2</v>
      </c>
      <c r="H23">
        <f>+G23</f>
        <v>-1.6089999997348059E-2</v>
      </c>
      <c r="O23">
        <f t="shared" ca="1" si="3"/>
        <v>-1.7162655644499498E-2</v>
      </c>
      <c r="P23">
        <f t="shared" ca="1" si="4"/>
        <v>-6.9519132921666726E-2</v>
      </c>
      <c r="Q23" s="2">
        <f t="shared" si="5"/>
        <v>40817.844190000003</v>
      </c>
      <c r="R23">
        <f>G23</f>
        <v>-1.6089999997348059E-2</v>
      </c>
    </row>
    <row r="24" spans="1:19">
      <c r="A24" s="31" t="s">
        <v>46</v>
      </c>
      <c r="B24" s="32" t="s">
        <v>48</v>
      </c>
      <c r="C24" s="33">
        <v>56140.527370000003</v>
      </c>
      <c r="D24" s="33">
        <v>4.0000000000000002E-4</v>
      </c>
      <c r="E24">
        <f t="shared" si="1"/>
        <v>2643.4901240618274</v>
      </c>
      <c r="F24">
        <f t="shared" si="0"/>
        <v>2643.5</v>
      </c>
      <c r="G24">
        <f t="shared" si="2"/>
        <v>-1.7934999996214174E-2</v>
      </c>
      <c r="H24">
        <f>+G24</f>
        <v>-1.7934999996214174E-2</v>
      </c>
      <c r="O24">
        <f t="shared" ca="1" si="3"/>
        <v>-1.8332563295876757E-2</v>
      </c>
      <c r="P24">
        <f t="shared" ca="1" si="4"/>
        <v>-4.9756952229916052E-2</v>
      </c>
      <c r="Q24" s="2">
        <f t="shared" si="5"/>
        <v>41122.027370000003</v>
      </c>
      <c r="S24">
        <f>G24</f>
        <v>-1.7934999996214174E-2</v>
      </c>
    </row>
    <row r="25" spans="1:19">
      <c r="A25" s="31" t="s">
        <v>46</v>
      </c>
      <c r="B25" s="32" t="s">
        <v>47</v>
      </c>
      <c r="C25" s="33">
        <v>56141.434910000004</v>
      </c>
      <c r="D25" s="33">
        <v>1E-4</v>
      </c>
      <c r="E25">
        <f t="shared" si="1"/>
        <v>2643.989862502272</v>
      </c>
      <c r="F25">
        <f t="shared" si="0"/>
        <v>2644</v>
      </c>
      <c r="G25">
        <f t="shared" si="2"/>
        <v>-1.840999999694759E-2</v>
      </c>
      <c r="H25">
        <f>+G25</f>
        <v>-1.840999999694759E-2</v>
      </c>
      <c r="O25">
        <f t="shared" ca="1" si="3"/>
        <v>-1.8336055557522657E-2</v>
      </c>
      <c r="P25">
        <f t="shared" ca="1" si="4"/>
        <v>-4.9697960645761596E-2</v>
      </c>
      <c r="Q25" s="2">
        <f t="shared" si="5"/>
        <v>41122.934910000004</v>
      </c>
      <c r="R25">
        <f>G25</f>
        <v>-1.840999999694759E-2</v>
      </c>
    </row>
    <row r="26" spans="1:19">
      <c r="A26" s="31" t="s">
        <v>49</v>
      </c>
      <c r="B26" s="32" t="s">
        <v>47</v>
      </c>
      <c r="C26" s="33">
        <v>56219.524899999997</v>
      </c>
      <c r="D26" s="33">
        <v>1.1599999999999999E-2</v>
      </c>
      <c r="E26">
        <f t="shared" si="1"/>
        <v>2686.9902479584557</v>
      </c>
      <c r="F26">
        <f t="shared" si="0"/>
        <v>2687</v>
      </c>
      <c r="G26">
        <f t="shared" si="2"/>
        <v>-1.771000000735512E-2</v>
      </c>
      <c r="J26">
        <f t="shared" ref="J26:J35" si="6">+G26</f>
        <v>-1.771000000735512E-2</v>
      </c>
      <c r="O26">
        <f t="shared" ca="1" si="3"/>
        <v>-1.8636390059070251E-2</v>
      </c>
      <c r="P26">
        <f t="shared" ca="1" si="4"/>
        <v>-4.4624684408476334E-2</v>
      </c>
      <c r="Q26" s="2">
        <f t="shared" si="5"/>
        <v>41201.024899999997</v>
      </c>
      <c r="R26">
        <f>G26</f>
        <v>-1.771000000735512E-2</v>
      </c>
    </row>
    <row r="27" spans="1:19">
      <c r="A27" s="31" t="s">
        <v>49</v>
      </c>
      <c r="B27" s="32" t="s">
        <v>47</v>
      </c>
      <c r="C27" s="33">
        <v>56220.432399999998</v>
      </c>
      <c r="D27" s="33">
        <v>2.0999999999999999E-3</v>
      </c>
      <c r="E27">
        <f t="shared" si="1"/>
        <v>2687.4899643728327</v>
      </c>
      <c r="F27">
        <f t="shared" si="0"/>
        <v>2687.5</v>
      </c>
      <c r="G27">
        <f t="shared" si="2"/>
        <v>-1.8225000007078052E-2</v>
      </c>
      <c r="J27">
        <f t="shared" si="6"/>
        <v>-1.8225000007078052E-2</v>
      </c>
      <c r="O27">
        <f t="shared" ca="1" si="3"/>
        <v>-1.8639882320716155E-2</v>
      </c>
      <c r="P27">
        <f t="shared" ca="1" si="4"/>
        <v>-4.4565692824321879E-2</v>
      </c>
      <c r="Q27" s="2">
        <f t="shared" si="5"/>
        <v>41201.932399999998</v>
      </c>
      <c r="S27">
        <f>G27</f>
        <v>-1.8225000007078052E-2</v>
      </c>
    </row>
    <row r="28" spans="1:19">
      <c r="A28" s="31" t="s">
        <v>50</v>
      </c>
      <c r="B28" s="32" t="s">
        <v>47</v>
      </c>
      <c r="C28" s="33">
        <v>56257.663399999998</v>
      </c>
      <c r="D28" s="33">
        <v>6.0000000000000006E-4</v>
      </c>
      <c r="E28">
        <f t="shared" ref="E28:E35" si="7">+(C28-C$7)/C$8</f>
        <v>2707.991277677128</v>
      </c>
      <c r="F28">
        <f t="shared" si="0"/>
        <v>2708</v>
      </c>
      <c r="G28">
        <f t="shared" ref="G28:G35" si="8">+C28-(C$7+F28*C$8)</f>
        <v>-1.5840000007301569E-2</v>
      </c>
      <c r="J28">
        <f t="shared" si="6"/>
        <v>-1.5840000007301569E-2</v>
      </c>
      <c r="O28">
        <f t="shared" ref="O28:P35" ca="1" si="9">+C$11+C$12*$F28</f>
        <v>-1.8783065048198148E-2</v>
      </c>
      <c r="P28">
        <f t="shared" ca="1" si="9"/>
        <v>-4.2147037873988213E-2</v>
      </c>
      <c r="Q28" s="2">
        <f t="shared" ref="Q28:Q35" si="10">+C28-15018.5</f>
        <v>41239.163399999998</v>
      </c>
      <c r="R28">
        <f>G28</f>
        <v>-1.5840000007301569E-2</v>
      </c>
    </row>
    <row r="29" spans="1:19">
      <c r="A29" s="34" t="s">
        <v>56</v>
      </c>
      <c r="B29" s="39" t="s">
        <v>47</v>
      </c>
      <c r="C29" s="40">
        <v>56506.456639999997</v>
      </c>
      <c r="D29" s="34">
        <v>1E-4</v>
      </c>
      <c r="E29">
        <f t="shared" si="7"/>
        <v>2844.9896973067594</v>
      </c>
      <c r="F29">
        <f t="shared" si="0"/>
        <v>2845</v>
      </c>
      <c r="G29">
        <f t="shared" si="8"/>
        <v>-1.8710000003920868E-2</v>
      </c>
      <c r="J29">
        <f t="shared" si="6"/>
        <v>-1.8710000003920868E-2</v>
      </c>
      <c r="O29">
        <f t="shared" ca="1" si="9"/>
        <v>-1.9739944739175369E-2</v>
      </c>
      <c r="P29">
        <f t="shared" ca="1" si="9"/>
        <v>-2.5983343815660809E-2</v>
      </c>
      <c r="Q29" s="2">
        <f t="shared" si="10"/>
        <v>41487.956639999997</v>
      </c>
      <c r="R29">
        <f>G29</f>
        <v>-1.8710000003920868E-2</v>
      </c>
    </row>
    <row r="30" spans="1:19">
      <c r="A30" s="36" t="s">
        <v>51</v>
      </c>
      <c r="B30" s="37" t="s">
        <v>47</v>
      </c>
      <c r="C30" s="33">
        <v>56526.430699999997</v>
      </c>
      <c r="D30" s="38">
        <v>6.6E-3</v>
      </c>
      <c r="E30">
        <f t="shared" si="7"/>
        <v>2855.9884473274087</v>
      </c>
      <c r="F30">
        <f t="shared" si="0"/>
        <v>2856</v>
      </c>
      <c r="G30">
        <f t="shared" si="8"/>
        <v>-2.0980000008421484E-2</v>
      </c>
      <c r="J30">
        <f t="shared" si="6"/>
        <v>-2.0980000008421484E-2</v>
      </c>
      <c r="O30">
        <f t="shared" ca="1" si="9"/>
        <v>-1.9816774495385218E-2</v>
      </c>
      <c r="P30">
        <f t="shared" ca="1" si="9"/>
        <v>-2.4685528964262238E-2</v>
      </c>
      <c r="Q30" s="2">
        <f t="shared" si="10"/>
        <v>41507.930699999997</v>
      </c>
      <c r="R30">
        <f>G30</f>
        <v>-2.0980000008421484E-2</v>
      </c>
    </row>
    <row r="31" spans="1:19">
      <c r="A31" s="36" t="s">
        <v>51</v>
      </c>
      <c r="B31" s="37" t="s">
        <v>47</v>
      </c>
      <c r="C31" s="33">
        <v>56584.538999999997</v>
      </c>
      <c r="D31" s="38">
        <v>8.2000000000000007E-3</v>
      </c>
      <c r="E31">
        <f t="shared" si="7"/>
        <v>2887.985881290504</v>
      </c>
      <c r="F31">
        <f t="shared" si="0"/>
        <v>2888</v>
      </c>
      <c r="G31">
        <f t="shared" si="8"/>
        <v>-2.5640000007115304E-2</v>
      </c>
      <c r="J31">
        <f t="shared" si="6"/>
        <v>-2.5640000007115304E-2</v>
      </c>
      <c r="O31">
        <f t="shared" ca="1" si="9"/>
        <v>-2.0040279240722964E-2</v>
      </c>
      <c r="P31">
        <f t="shared" ca="1" si="9"/>
        <v>-2.0910067578375546E-2</v>
      </c>
      <c r="Q31" s="2">
        <f t="shared" si="10"/>
        <v>41566.038999999997</v>
      </c>
      <c r="R31">
        <f>G31</f>
        <v>-2.5640000007115304E-2</v>
      </c>
    </row>
    <row r="32" spans="1:19">
      <c r="A32" s="34" t="s">
        <v>56</v>
      </c>
      <c r="B32" s="39" t="s">
        <v>48</v>
      </c>
      <c r="C32" s="40">
        <v>56861.485370000002</v>
      </c>
      <c r="D32" s="34">
        <v>2.0000000000000001E-4</v>
      </c>
      <c r="E32">
        <f t="shared" si="7"/>
        <v>3040.486869710302</v>
      </c>
      <c r="F32">
        <f t="shared" si="0"/>
        <v>3040.5</v>
      </c>
      <c r="G32">
        <f t="shared" si="8"/>
        <v>-2.3845000003348105E-2</v>
      </c>
      <c r="J32">
        <f t="shared" si="6"/>
        <v>-2.3845000003348105E-2</v>
      </c>
      <c r="O32">
        <f t="shared" ca="1" si="9"/>
        <v>-2.1105419042723155E-2</v>
      </c>
      <c r="P32">
        <f t="shared" ca="1" si="9"/>
        <v>-2.9176344112593067E-3</v>
      </c>
      <c r="Q32" s="2">
        <f t="shared" si="10"/>
        <v>41842.985370000002</v>
      </c>
      <c r="S32">
        <f>G32</f>
        <v>-2.3845000003348105E-2</v>
      </c>
    </row>
    <row r="33" spans="1:18">
      <c r="A33" s="35" t="s">
        <v>55</v>
      </c>
      <c r="B33" s="39"/>
      <c r="C33" s="35">
        <v>56949.563699999999</v>
      </c>
      <c r="D33" s="35">
        <v>5.4000000000000003E-3</v>
      </c>
      <c r="E33">
        <f t="shared" si="7"/>
        <v>3088.9873515305344</v>
      </c>
      <c r="F33">
        <f t="shared" si="0"/>
        <v>3089</v>
      </c>
      <c r="G33">
        <f t="shared" si="8"/>
        <v>-2.297000000544358E-2</v>
      </c>
      <c r="J33">
        <f t="shared" si="6"/>
        <v>-2.297000000544358E-2</v>
      </c>
      <c r="O33">
        <f t="shared" ca="1" si="9"/>
        <v>-2.1444168422375676E-2</v>
      </c>
      <c r="P33">
        <f t="shared" ca="1" si="9"/>
        <v>2.8045492517252413E-3</v>
      </c>
      <c r="Q33" s="2">
        <f t="shared" si="10"/>
        <v>41931.063699999999</v>
      </c>
      <c r="R33">
        <f t="shared" ref="R33:R38" si="11">G33</f>
        <v>-2.297000000544358E-2</v>
      </c>
    </row>
    <row r="34" spans="1:18">
      <c r="A34" s="41" t="s">
        <v>0</v>
      </c>
      <c r="B34" s="42" t="s">
        <v>47</v>
      </c>
      <c r="C34" s="43">
        <v>57246.486599999997</v>
      </c>
      <c r="D34" s="43">
        <v>9.2999999999999992E-3</v>
      </c>
      <c r="E34">
        <f t="shared" si="7"/>
        <v>3252.488450080667</v>
      </c>
      <c r="F34">
        <f t="shared" si="0"/>
        <v>3252.5</v>
      </c>
      <c r="G34">
        <f t="shared" si="8"/>
        <v>-2.0975000006728806E-2</v>
      </c>
      <c r="J34">
        <f t="shared" si="6"/>
        <v>-2.0975000006728806E-2</v>
      </c>
      <c r="O34">
        <f t="shared" ca="1" si="9"/>
        <v>-2.2586137980585716E-2</v>
      </c>
      <c r="P34">
        <f t="shared" ca="1" si="9"/>
        <v>2.2094797270240052E-2</v>
      </c>
      <c r="Q34" s="2">
        <f t="shared" si="10"/>
        <v>42227.986599999997</v>
      </c>
      <c r="R34">
        <f t="shared" si="11"/>
        <v>-2.0975000006728806E-2</v>
      </c>
    </row>
    <row r="35" spans="1:18">
      <c r="A35" s="44" t="s">
        <v>57</v>
      </c>
      <c r="B35" s="45" t="s">
        <v>47</v>
      </c>
      <c r="C35" s="46">
        <v>57692.320890000003</v>
      </c>
      <c r="D35" s="46">
        <v>2.0000000000000001E-4</v>
      </c>
      <c r="E35">
        <f t="shared" si="7"/>
        <v>3497.9878581300968</v>
      </c>
      <c r="F35">
        <f t="shared" si="0"/>
        <v>3498</v>
      </c>
      <c r="G35">
        <f t="shared" si="8"/>
        <v>-2.2049999999580905E-2</v>
      </c>
      <c r="J35">
        <f t="shared" si="6"/>
        <v>-2.2049999999580905E-2</v>
      </c>
      <c r="O35">
        <f t="shared" ca="1" si="9"/>
        <v>-2.4300838448723727E-2</v>
      </c>
      <c r="P35">
        <f t="shared" ca="1" si="9"/>
        <v>5.1059665090089523E-2</v>
      </c>
      <c r="Q35" s="2">
        <f t="shared" si="10"/>
        <v>42673.820890000003</v>
      </c>
      <c r="R35">
        <f t="shared" si="11"/>
        <v>-2.2049999999580905E-2</v>
      </c>
    </row>
    <row r="36" spans="1:18">
      <c r="A36" s="47" t="s">
        <v>58</v>
      </c>
      <c r="B36" s="48" t="s">
        <v>47</v>
      </c>
      <c r="C36" s="49">
        <v>57966.536820000038</v>
      </c>
      <c r="D36" s="49">
        <v>5.0000000000000001E-4</v>
      </c>
      <c r="E36">
        <f>+(C36-C$7)/C$8</f>
        <v>3648.9853251323134</v>
      </c>
      <c r="F36">
        <f t="shared" si="0"/>
        <v>3649</v>
      </c>
      <c r="G36">
        <f>+C36-(C$7+F36*C$8)</f>
        <v>-2.6649999963410664E-2</v>
      </c>
      <c r="J36">
        <f>+G36</f>
        <v>-2.6649999963410664E-2</v>
      </c>
      <c r="O36">
        <f t="shared" ref="O36:P38" ca="1" si="12">+C$11+C$12*$F36</f>
        <v>-2.5355501465786211E-2</v>
      </c>
      <c r="P36">
        <f t="shared" ca="1" si="12"/>
        <v>6.8875123504742342E-2</v>
      </c>
      <c r="Q36" s="2">
        <f>+C36-15018.5</f>
        <v>42948.036820000038</v>
      </c>
      <c r="R36">
        <f t="shared" si="11"/>
        <v>-2.6649999963410664E-2</v>
      </c>
    </row>
    <row r="37" spans="1:18">
      <c r="A37" s="47" t="s">
        <v>58</v>
      </c>
      <c r="B37" s="48" t="s">
        <v>47</v>
      </c>
      <c r="C37" s="49">
        <v>57966.537510000169</v>
      </c>
      <c r="D37" s="49">
        <v>4.0000000000000002E-4</v>
      </c>
      <c r="E37">
        <f>+(C37-C$7)/C$8</f>
        <v>3648.985705082056</v>
      </c>
      <c r="F37">
        <f t="shared" si="0"/>
        <v>3649</v>
      </c>
      <c r="G37">
        <f>+C37-(C$7+F37*C$8)</f>
        <v>-2.5959999831684399E-2</v>
      </c>
      <c r="J37">
        <f>+G37</f>
        <v>-2.5959999831684399E-2</v>
      </c>
      <c r="O37">
        <f t="shared" ca="1" si="12"/>
        <v>-2.5355501465786211E-2</v>
      </c>
      <c r="P37">
        <f t="shared" ca="1" si="12"/>
        <v>6.8875123504742342E-2</v>
      </c>
      <c r="Q37" s="2">
        <f>+C37-15018.5</f>
        <v>42948.037510000169</v>
      </c>
      <c r="R37">
        <f t="shared" si="11"/>
        <v>-2.5959999831684399E-2</v>
      </c>
    </row>
    <row r="38" spans="1:18">
      <c r="A38" s="47" t="s">
        <v>58</v>
      </c>
      <c r="B38" s="48" t="s">
        <v>47</v>
      </c>
      <c r="C38" s="49">
        <v>57966.538509999868</v>
      </c>
      <c r="D38" s="49">
        <v>5.0000000000000001E-4</v>
      </c>
      <c r="E38">
        <f>+(C38-C$7)/C$8</f>
        <v>3648.9862557335864</v>
      </c>
      <c r="F38">
        <f t="shared" si="0"/>
        <v>3649</v>
      </c>
      <c r="G38">
        <f>+C38-(C$7+F38*C$8)</f>
        <v>-2.4960000133432914E-2</v>
      </c>
      <c r="J38">
        <f>+G38</f>
        <v>-2.4960000133432914E-2</v>
      </c>
      <c r="O38">
        <f t="shared" ca="1" si="12"/>
        <v>-2.5355501465786211E-2</v>
      </c>
      <c r="P38">
        <f t="shared" ca="1" si="12"/>
        <v>6.8875123504742342E-2</v>
      </c>
      <c r="Q38" s="2">
        <f>+C38-15018.5</f>
        <v>42948.038509999868</v>
      </c>
      <c r="R38">
        <f t="shared" si="11"/>
        <v>-2.4960000133432914E-2</v>
      </c>
    </row>
    <row r="39" spans="1:18">
      <c r="A39" s="50" t="s">
        <v>59</v>
      </c>
      <c r="B39" s="51" t="s">
        <v>47</v>
      </c>
      <c r="C39" s="52">
        <v>59467.481299999999</v>
      </c>
      <c r="D39" s="50">
        <v>2.2000000000000001E-3</v>
      </c>
      <c r="E39">
        <f>+(C39-C$7)/C$8</f>
        <v>4475.4829490702232</v>
      </c>
      <c r="F39">
        <f t="shared" ref="F39" si="13">ROUND(2*E39,0)/2</f>
        <v>4475.5</v>
      </c>
      <c r="G39">
        <f>+C39-(C$7+F39*C$8)</f>
        <v>-3.0965000005380716E-2</v>
      </c>
      <c r="K39">
        <f>+G39</f>
        <v>-3.0965000005380716E-2</v>
      </c>
      <c r="O39">
        <f t="shared" ref="O39" ca="1" si="14">+C$11+C$12*$F39</f>
        <v>-3.1128209966462657E-2</v>
      </c>
      <c r="P39">
        <f t="shared" ref="P39" ca="1" si="15">+D$11+D$12*$F39</f>
        <v>0.16638821211209709</v>
      </c>
      <c r="Q39" s="2">
        <f>+C39-15018.5</f>
        <v>44448.981299999999</v>
      </c>
      <c r="R39">
        <f t="shared" ref="R39" si="16">G39</f>
        <v>-3.0965000005380716E-2</v>
      </c>
    </row>
  </sheetData>
  <protectedRanges>
    <protectedRange sqref="A36:D38" name="Range1"/>
  </protectedRanges>
  <phoneticPr fontId="8" type="noConversion"/>
  <hyperlinks>
    <hyperlink ref="H213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2023-01-26T06:29:43Z</dcterms:modified>
</cp:coreProperties>
</file>