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A598B5CD-6C9B-4DEA-B9B5-7BBCD058E0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7" i="1" l="1"/>
  <c r="F27" i="1" s="1"/>
  <c r="G27" i="1" s="1"/>
  <c r="K27" i="1" s="1"/>
  <c r="Q27" i="1"/>
  <c r="E28" i="1"/>
  <c r="F28" i="1" s="1"/>
  <c r="G28" i="1" s="1"/>
  <c r="K28" i="1" s="1"/>
  <c r="Q28" i="1"/>
  <c r="Q26" i="1"/>
  <c r="E26" i="1"/>
  <c r="F26" i="1"/>
  <c r="G26" i="1" s="1"/>
  <c r="K26" i="1" s="1"/>
  <c r="E21" i="1"/>
  <c r="F21" i="1" s="1"/>
  <c r="G21" i="1" s="1"/>
  <c r="I21" i="1" s="1"/>
  <c r="E23" i="1"/>
  <c r="F23" i="1"/>
  <c r="G23" i="1" s="1"/>
  <c r="K23" i="1" s="1"/>
  <c r="E24" i="1"/>
  <c r="F24" i="1"/>
  <c r="G24" i="1" s="1"/>
  <c r="K24" i="1" s="1"/>
  <c r="Q25" i="1"/>
  <c r="Q22" i="1"/>
  <c r="Q23" i="1"/>
  <c r="Q24" i="1"/>
  <c r="F16" i="1"/>
  <c r="C17" i="1"/>
  <c r="Q21" i="1"/>
  <c r="E22" i="1"/>
  <c r="F22" i="1" s="1"/>
  <c r="G22" i="1" s="1"/>
  <c r="K22" i="1" s="1"/>
  <c r="E25" i="1"/>
  <c r="F25" i="1"/>
  <c r="G25" i="1"/>
  <c r="K25" i="1" s="1"/>
  <c r="C11" i="1"/>
  <c r="C12" i="1"/>
  <c r="O28" i="1" l="1"/>
  <c r="O27" i="1"/>
  <c r="O24" i="1"/>
  <c r="O22" i="1"/>
  <c r="O21" i="1"/>
  <c r="O25" i="1"/>
  <c r="O26" i="1"/>
  <c r="O23" i="1"/>
  <c r="C15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<sst xmlns="http://schemas.openxmlformats.org/spreadsheetml/2006/main" count="67" uniqueCount="56">
  <si>
    <t>IBVS 6196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</si>
  <si>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</si>
  <si>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</si>
  <si>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</si>
  <si>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</si>
  <si>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</si>
  <si>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</si>
  <si>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</si>
  <si>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</si>
  <si>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</si>
  <si>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</si>
  <si>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</si>
  <si>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</si>
  <si>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</si>
  <si>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</si>
  <si>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</si>
  <si>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</si>
  <si>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</si>
  <si>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</si>
  <si>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</si>
  <si>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</si>
  <si>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</si>
  <si>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</si>
  <si>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</si>
  <si>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</si>
  <si>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</si>
  <si>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</si>
  <si>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</si>
  <si>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</si>
  <si>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</si>
  <si>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</si>
  <si>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</si>
  <si>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</si>
  <si>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</si>
  <si>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</si>
  <si>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</si>
  <si>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</si>
  <si>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</si>
  <si>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</si>
  <si>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</si>
  <si>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</si>
  <si>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</si>
  <si>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V1070 Cas</t>
  </si>
  <si>
    <t>G3669-1165</t>
  </si>
  <si>
    <t>EA</t>
  </si>
  <si>
    <t>V1070 Cas / GSC 3669-1165</t>
  </si>
  <si>
    <t>GCVS</t>
  </si>
  <si>
    <t>IBVS 6152</t>
  </si>
  <si>
    <t>OEJV 0168</t>
  </si>
  <si>
    <t>I</t>
  </si>
  <si>
    <t>OEJV 0211</t>
  </si>
  <si>
    <t>JBAV, 60</t>
  </si>
  <si>
    <t>VSB, 91</t>
  </si>
  <si>
    <t>V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</si>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</sst>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0"/>
  </numFmts>
  <fonts count="38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5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6" fillId="24" borderId="5" xfId="0" applyFont="1" applyFill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7" fillId="24" borderId="5" xfId="0" applyFont="1" applyFill="1" applyBorder="1" applyAlignment="1">
      <alignment vertical="center"/>
    </xf>
    <xf numFmtId="0" fontId="18" fillId="0" borderId="5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9" fillId="0" borderId="5" xfId="0" applyFont="1" applyBorder="1" applyAlignment="1">
      <alignment horizontal="center" vertical="center"/>
    </xf>
    <xf numFmtId="0" fontId="17" fillId="0" borderId="11" xfId="0" applyFont="1" applyBorder="1" applyAlignment="1">
      <alignment vertical="center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5" fillId="0" borderId="0" xfId="41" applyFont="1" applyAlignment="1">
      <alignment wrapText="1"/>
    </xf>
    <xf numFmtId="0" fontId="5" fillId="0" borderId="0" xfId="41" applyFont="1" applyAlignment="1">
      <alignment horizontal="center" wrapText="1"/>
    </xf>
    <xf numFmtId="0" fontId="5" fillId="0" borderId="0" xfId="41" applyFont="1" applyAlignment="1">
      <alignment horizontal="left" wrapText="1"/>
    </xf>
    <xf numFmtId="0" fontId="19" fillId="0" borderId="0" xfId="41" applyFont="1"/>
    <xf numFmtId="0" fontId="19" fillId="0" borderId="0" xfId="41" applyFont="1" applyAlignment="1">
      <alignment horizontal="center"/>
    </xf>
    <xf numFmtId="0" fontId="19" fillId="0" borderId="0" xfId="41" applyFont="1" applyAlignment="1">
      <alignment horizontal="left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right" vertical="center" wrapText="1"/>
    </xf>
    <xf numFmtId="165" fontId="37" fillId="0" borderId="0" xfId="0" applyNumberFormat="1" applyFont="1" applyAlignment="1">
      <alignment horizontal="right"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V1070 Cas - O-C Diagr.</a:t>
            </a:r>
          </a:p>
        </c:rich>
      </c:tx>
      <c:layout>
        <c:manualLayout>
          <c:xMode val="edge"/>
          <c:yMode val="edge"/>
          <c:x val="0.3669172932330827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FB-4CF9-9715-B8DBA441670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FB-4CF9-9715-B8DBA441670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1FB-4CF9-9715-B8DBA441670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7.1000002208165824E-3</c:v>
                </c:pt>
                <c:pt idx="2">
                  <c:v>4.1900002252077684E-3</c:v>
                </c:pt>
                <c:pt idx="3">
                  <c:v>7.980000227689743E-3</c:v>
                </c:pt>
                <c:pt idx="4">
                  <c:v>9.8000002253684215E-3</c:v>
                </c:pt>
                <c:pt idx="5">
                  <c:v>7.3600001633167267E-3</c:v>
                </c:pt>
                <c:pt idx="6">
                  <c:v>9.2000002259737812E-3</c:v>
                </c:pt>
                <c:pt idx="7">
                  <c:v>1.0300000372808427E-2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1FB-4CF9-9715-B8DBA441670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1FB-4CF9-9715-B8DBA441670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1FB-4CF9-9715-B8DBA441670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2.8999999999999998E-3</c:v>
                  </c:pt>
                  <c:pt idx="2">
                    <c:v>1E-3</c:v>
                  </c:pt>
                  <c:pt idx="3">
                    <c:v>5.9999999999999995E-4</c:v>
                  </c:pt>
                  <c:pt idx="4">
                    <c:v>1.1999999999999999E-3</c:v>
                  </c:pt>
                  <c:pt idx="5">
                    <c:v>1E-4</c:v>
                  </c:pt>
                  <c:pt idx="6">
                    <c:v>1E-3</c:v>
                  </c:pt>
                  <c:pt idx="7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1FB-4CF9-9715-B8DBA441670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1.8201292940376278E-4</c:v>
                </c:pt>
                <c:pt idx="1">
                  <c:v>6.8467209422304097E-3</c:v>
                </c:pt>
                <c:pt idx="2">
                  <c:v>6.754004054981594E-3</c:v>
                </c:pt>
                <c:pt idx="3">
                  <c:v>6.7430961858934973E-3</c:v>
                </c:pt>
                <c:pt idx="4">
                  <c:v>7.2939435748423445E-3</c:v>
                </c:pt>
                <c:pt idx="5">
                  <c:v>8.1338494946257365E-3</c:v>
                </c:pt>
                <c:pt idx="6">
                  <c:v>9.939101828705622E-3</c:v>
                </c:pt>
                <c:pt idx="7">
                  <c:v>1.0037272650498485E-2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1FB-4CF9-9715-B8DBA441670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1222</c:v>
                </c:pt>
                <c:pt idx="2">
                  <c:v>1205</c:v>
                </c:pt>
                <c:pt idx="3">
                  <c:v>1203</c:v>
                </c:pt>
                <c:pt idx="4">
                  <c:v>1304</c:v>
                </c:pt>
                <c:pt idx="5">
                  <c:v>1458</c:v>
                </c:pt>
                <c:pt idx="6">
                  <c:v>1789</c:v>
                </c:pt>
                <c:pt idx="7">
                  <c:v>1807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1FB-4CF9-9715-B8DBA44167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23624"/>
        <c:axId val="1"/>
      </c:scatterChart>
      <c:valAx>
        <c:axId val="6732236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2236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BD9C451-17CA-2521-E7C9-9EF44BCA7E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/>
  <cols>
    <col min="1" max="1" width="14.42578125" customWidth="1"/>
    <col min="2" max="2" width="4.85546875" customWidth="1"/>
    <col min="3" max="3" width="13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>
      <c r="A1" s="1" t="s">
        <v>45</v>
      </c>
      <c r="F1" s="31" t="s">
        <v>42</v>
      </c>
      <c r="G1" s="32">
        <v>0</v>
      </c>
      <c r="H1" s="40"/>
      <c r="I1" s="41" t="s">
        <v>43</v>
      </c>
      <c r="J1" s="34" t="s">
        <v>42</v>
      </c>
      <c r="K1" s="35">
        <v>1.1558959999999998</v>
      </c>
      <c r="L1" s="36">
        <v>52.463999999999999</v>
      </c>
      <c r="M1" s="37">
        <v>51460.634999999776</v>
      </c>
      <c r="N1" s="37">
        <v>4.4744999999999999</v>
      </c>
      <c r="O1" s="33" t="s">
        <v>44</v>
      </c>
    </row>
    <row r="2" spans="1:15">
      <c r="A2" t="s">
        <v>24</v>
      </c>
      <c r="B2" t="s">
        <v>44</v>
      </c>
      <c r="C2" s="30"/>
      <c r="D2" s="3"/>
    </row>
    <row r="3" spans="1:15" ht="13.5" thickBot="1"/>
    <row r="4" spans="1:15" ht="14.25" thickTop="1" thickBot="1">
      <c r="A4" s="5" t="s">
        <v>1</v>
      </c>
      <c r="C4" s="27">
        <v>51460.635000000002</v>
      </c>
      <c r="D4" s="28">
        <v>4.4744999999999999</v>
      </c>
    </row>
    <row r="5" spans="1:15" ht="13.5" thickTop="1">
      <c r="A5" s="9" t="s">
        <v>29</v>
      </c>
      <c r="B5" s="10"/>
      <c r="C5" s="11">
        <v>-9.5</v>
      </c>
      <c r="D5" s="10" t="s">
        <v>30</v>
      </c>
      <c r="E5" s="10"/>
    </row>
    <row r="6" spans="1:15">
      <c r="A6" s="5" t="s">
        <v>2</v>
      </c>
    </row>
    <row r="7" spans="1:15">
      <c r="A7" t="s">
        <v>3</v>
      </c>
      <c r="C7" s="8">
        <v>51460.634999999776</v>
      </c>
      <c r="D7" s="29" t="s">
        <v>46</v>
      </c>
    </row>
    <row r="8" spans="1:15">
      <c r="A8" t="s">
        <v>4</v>
      </c>
      <c r="C8" s="8">
        <v>4.4744999999999999</v>
      </c>
      <c r="D8" s="29" t="s">
        <v>46</v>
      </c>
    </row>
    <row r="9" spans="1:15">
      <c r="A9" s="24" t="s">
        <v>33</v>
      </c>
      <c r="C9" s="25">
        <v>21</v>
      </c>
      <c r="D9" s="22" t="s">
        <v>54</v>
      </c>
      <c r="E9" s="23" t="s">
        <v>55</v>
      </c>
    </row>
    <row r="10" spans="1:15" ht="13.5" thickBot="1">
      <c r="A10" s="10"/>
      <c r="B10" s="10"/>
      <c r="C10" s="4" t="s">
        <v>20</v>
      </c>
      <c r="D10" s="4" t="s">
        <v>21</v>
      </c>
      <c r="E10" s="10"/>
    </row>
    <row r="11" spans="1:15">
      <c r="A11" s="10" t="s">
        <v>16</v>
      </c>
      <c r="B11" s="10"/>
      <c r="C11" s="21">
        <f ca="1">INTERCEPT(INDIRECT($E$9):G992,INDIRECT($D$9):F992)</f>
        <v>1.8201292940376278E-4</v>
      </c>
      <c r="D11" s="3"/>
      <c r="E11" s="10"/>
    </row>
    <row r="12" spans="1:15">
      <c r="A12" s="10" t="s">
        <v>17</v>
      </c>
      <c r="B12" s="10"/>
      <c r="C12" s="21">
        <f ca="1">SLOPE(INDIRECT($E$9):G992,INDIRECT($D$9):F992)</f>
        <v>5.4539345440479924E-6</v>
      </c>
      <c r="D12" s="3"/>
      <c r="E12" s="10"/>
    </row>
    <row r="13" spans="1:15">
      <c r="A13" s="10" t="s">
        <v>19</v>
      </c>
      <c r="B13" s="10"/>
      <c r="C13" s="3" t="s">
        <v>14</v>
      </c>
    </row>
    <row r="14" spans="1:15">
      <c r="A14" s="10"/>
      <c r="B14" s="10"/>
      <c r="C14" s="10"/>
    </row>
    <row r="15" spans="1:15">
      <c r="A15" s="12" t="s">
        <v>18</v>
      </c>
      <c r="B15" s="10"/>
      <c r="C15" s="13">
        <f ca="1">(C7+C11)+(C8+C12)*INT(MAX(F21:F3533))</f>
        <v>59546.066537272432</v>
      </c>
      <c r="E15" s="14" t="s">
        <v>35</v>
      </c>
      <c r="F15" s="38">
        <v>1</v>
      </c>
    </row>
    <row r="16" spans="1:15">
      <c r="A16" s="16" t="s">
        <v>5</v>
      </c>
      <c r="B16" s="10"/>
      <c r="C16" s="17">
        <f ca="1">+C8+C12</f>
        <v>4.4745054539345439</v>
      </c>
      <c r="E16" s="14" t="s">
        <v>31</v>
      </c>
      <c r="F16" s="39">
        <f ca="1">NOW()+15018.5+$C$5/24</f>
        <v>59970.813172916663</v>
      </c>
    </row>
    <row r="17" spans="1:21" ht="13.5" thickBot="1">
      <c r="A17" s="14" t="s">
        <v>28</v>
      </c>
      <c r="B17" s="10"/>
      <c r="C17" s="10">
        <f>COUNT(C21:C2191)</f>
        <v>8</v>
      </c>
      <c r="E17" s="14" t="s">
        <v>36</v>
      </c>
      <c r="F17" s="15">
        <f ca="1">ROUND(2*(F16-$C$7)/$C$8,0)/2+F15</f>
        <v>1903</v>
      </c>
    </row>
    <row r="18" spans="1:21" ht="14.25" thickTop="1" thickBot="1">
      <c r="A18" s="16" t="s">
        <v>6</v>
      </c>
      <c r="B18" s="10"/>
      <c r="C18" s="19">
        <f ca="1">+C15</f>
        <v>59546.066537272432</v>
      </c>
      <c r="D18" s="20">
        <f ca="1">+C16</f>
        <v>4.4745054539345439</v>
      </c>
      <c r="E18" s="14" t="s">
        <v>37</v>
      </c>
      <c r="F18" s="23">
        <f ca="1">ROUND(2*(F16-$C$15)/$C$16,0)/2+F15</f>
        <v>96</v>
      </c>
    </row>
    <row r="19" spans="1:21" ht="13.5" thickTop="1">
      <c r="E19" s="14" t="s">
        <v>32</v>
      </c>
      <c r="F19" s="18">
        <f ca="1">+$C$15+$C$16*F18-15018.5-$C$5/24</f>
        <v>44957.514894183485</v>
      </c>
    </row>
    <row r="20" spans="1:21" ht="13.5" thickBot="1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>
      <c r="A21" t="s">
        <v>46</v>
      </c>
      <c r="C21" s="8">
        <v>51460.634999999776</v>
      </c>
      <c r="D21" s="8" t="s">
        <v>14</v>
      </c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I21">
        <f>+G21</f>
        <v>0</v>
      </c>
      <c r="O21">
        <f t="shared" ref="O21:O26" ca="1" si="3">+C$11+C$12*$F21</f>
        <v>1.8201292940376278E-4</v>
      </c>
      <c r="Q21" s="2">
        <f t="shared" ref="Q21:Q26" si="4">+C21-15018.5</f>
        <v>36442.134999999776</v>
      </c>
    </row>
    <row r="22" spans="1:21">
      <c r="A22" s="42" t="s">
        <v>47</v>
      </c>
      <c r="B22" s="43"/>
      <c r="C22" s="42">
        <v>56928.481099999997</v>
      </c>
      <c r="D22" s="42">
        <v>2.8999999999999998E-3</v>
      </c>
      <c r="E22">
        <f t="shared" si="0"/>
        <v>1222.0015867695208</v>
      </c>
      <c r="F22">
        <f t="shared" si="1"/>
        <v>1222</v>
      </c>
      <c r="G22">
        <f t="shared" si="2"/>
        <v>7.1000002208165824E-3</v>
      </c>
      <c r="K22">
        <f>+G22</f>
        <v>7.1000002208165824E-3</v>
      </c>
      <c r="O22">
        <f t="shared" ca="1" si="3"/>
        <v>6.8467209422304097E-3</v>
      </c>
      <c r="Q22" s="2">
        <f t="shared" si="4"/>
        <v>41909.981099999997</v>
      </c>
    </row>
    <row r="23" spans="1:21">
      <c r="A23" s="44" t="s">
        <v>48</v>
      </c>
      <c r="B23" s="43" t="s">
        <v>49</v>
      </c>
      <c r="C23" s="45">
        <v>56852.411690000001</v>
      </c>
      <c r="D23" s="44">
        <v>1E-3</v>
      </c>
      <c r="E23">
        <f t="shared" si="0"/>
        <v>1205.0009364175269</v>
      </c>
      <c r="F23">
        <f t="shared" si="1"/>
        <v>1205</v>
      </c>
      <c r="G23">
        <f t="shared" si="2"/>
        <v>4.1900002252077684E-3</v>
      </c>
      <c r="K23">
        <f>+G23</f>
        <v>4.1900002252077684E-3</v>
      </c>
      <c r="O23">
        <f t="shared" ca="1" si="3"/>
        <v>6.754004054981594E-3</v>
      </c>
      <c r="Q23" s="2">
        <f t="shared" si="4"/>
        <v>41833.911690000001</v>
      </c>
    </row>
    <row r="24" spans="1:21">
      <c r="A24" s="44" t="s">
        <v>48</v>
      </c>
      <c r="B24" s="43" t="s">
        <v>49</v>
      </c>
      <c r="C24" s="45">
        <v>56843.466480000003</v>
      </c>
      <c r="D24" s="44">
        <v>5.9999999999999995E-4</v>
      </c>
      <c r="E24">
        <f t="shared" si="0"/>
        <v>1203.001783439541</v>
      </c>
      <c r="F24">
        <f t="shared" si="1"/>
        <v>1203</v>
      </c>
      <c r="G24">
        <f t="shared" si="2"/>
        <v>7.980000227689743E-3</v>
      </c>
      <c r="K24">
        <f>+G24</f>
        <v>7.980000227689743E-3</v>
      </c>
      <c r="O24">
        <f t="shared" ca="1" si="3"/>
        <v>6.7430961858934973E-3</v>
      </c>
      <c r="Q24" s="2">
        <f t="shared" si="4"/>
        <v>41824.966480000003</v>
      </c>
    </row>
    <row r="25" spans="1:21">
      <c r="A25" s="46" t="s">
        <v>0</v>
      </c>
      <c r="B25" s="47" t="s">
        <v>49</v>
      </c>
      <c r="C25" s="48">
        <v>57295.392800000001</v>
      </c>
      <c r="D25" s="48">
        <v>1.1999999999999999E-3</v>
      </c>
      <c r="E25">
        <f t="shared" si="0"/>
        <v>1304.0021901888981</v>
      </c>
      <c r="F25">
        <f t="shared" si="1"/>
        <v>1304</v>
      </c>
      <c r="G25">
        <f t="shared" si="2"/>
        <v>9.8000002253684215E-3</v>
      </c>
      <c r="K25">
        <f>+G25</f>
        <v>9.8000002253684215E-3</v>
      </c>
      <c r="O25">
        <f t="shared" ca="1" si="3"/>
        <v>7.2939435748423445E-3</v>
      </c>
      <c r="Q25" s="2">
        <f t="shared" si="4"/>
        <v>42276.892800000001</v>
      </c>
    </row>
    <row r="26" spans="1:21">
      <c r="A26" s="49" t="s">
        <v>50</v>
      </c>
      <c r="B26" s="50" t="s">
        <v>49</v>
      </c>
      <c r="C26" s="51">
        <v>57984.463359999936</v>
      </c>
      <c r="D26" s="51">
        <v>1E-4</v>
      </c>
      <c r="E26">
        <f t="shared" si="0"/>
        <v>1458.0016448765582</v>
      </c>
      <c r="F26">
        <f t="shared" si="1"/>
        <v>1458</v>
      </c>
      <c r="G26">
        <f t="shared" si="2"/>
        <v>7.3600001633167267E-3</v>
      </c>
      <c r="K26">
        <f>+G26</f>
        <v>7.3600001633167267E-3</v>
      </c>
      <c r="O26">
        <f t="shared" ca="1" si="3"/>
        <v>8.1338494946257365E-3</v>
      </c>
      <c r="Q26" s="2">
        <f t="shared" si="4"/>
        <v>42965.963359999936</v>
      </c>
    </row>
    <row r="27" spans="1:21">
      <c r="A27" s="52" t="s">
        <v>51</v>
      </c>
      <c r="B27" s="53" t="s">
        <v>49</v>
      </c>
      <c r="C27" s="55">
        <v>59465.524700000002</v>
      </c>
      <c r="D27" s="54">
        <v>1E-3</v>
      </c>
      <c r="E27">
        <f t="shared" ref="E27:E28" si="5">+(C27-C$7)/C$8</f>
        <v>1789.0020560957034</v>
      </c>
      <c r="F27">
        <f t="shared" ref="F27:F28" si="6">ROUND(2*E27,0)/2</f>
        <v>1789</v>
      </c>
      <c r="G27">
        <f t="shared" ref="G27:G28" si="7">+C27-(C$7+F27*C$8)</f>
        <v>9.2000002259737812E-3</v>
      </c>
      <c r="K27">
        <f t="shared" ref="K27:K28" si="8">+G27</f>
        <v>9.2000002259737812E-3</v>
      </c>
      <c r="O27">
        <f t="shared" ref="O27:O28" ca="1" si="9">+C$11+C$12*$F27</f>
        <v>9.939101828705622E-3</v>
      </c>
      <c r="Q27" s="2">
        <f t="shared" ref="Q27:Q28" si="10">+C27-15018.5</f>
        <v>44447.024700000002</v>
      </c>
    </row>
    <row r="28" spans="1:21">
      <c r="A28" s="52" t="s">
        <v>52</v>
      </c>
      <c r="B28" s="53" t="s">
        <v>49</v>
      </c>
      <c r="C28" s="55">
        <v>59546.066800000146</v>
      </c>
      <c r="D28" s="54" t="s">
        <v>53</v>
      </c>
      <c r="E28">
        <f t="shared" si="5"/>
        <v>1807.0023019332596</v>
      </c>
      <c r="F28">
        <f t="shared" si="6"/>
        <v>1807</v>
      </c>
      <c r="G28">
        <f t="shared" si="7"/>
        <v>1.0300000372808427E-2</v>
      </c>
      <c r="K28">
        <f t="shared" si="8"/>
        <v>1.0300000372808427E-2</v>
      </c>
      <c r="O28">
        <f t="shared" ca="1" si="9"/>
        <v>1.0037272650498485E-2</v>
      </c>
      <c r="Q28" s="2">
        <f t="shared" si="10"/>
        <v>44527.566800000146</v>
      </c>
    </row>
    <row r="29" spans="1:21">
      <c r="C29" s="8"/>
      <c r="D29" s="8"/>
      <c r="Q29" s="2"/>
    </row>
    <row r="30" spans="1:21">
      <c r="C30" s="8"/>
      <c r="D30" s="8"/>
      <c r="Q30" s="2"/>
    </row>
    <row r="31" spans="1:21">
      <c r="C31" s="8"/>
      <c r="D31" s="8"/>
      <c r="Q31" s="2"/>
    </row>
    <row r="32" spans="1:21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26:D26" name="Range1"/>
  </protectedRanges>
  <phoneticPr fontId="8" type="noConversion"/>
  <hyperlinks>
    <hyperlink ref="H2099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2023-01-26T06:30:58Z</dcterms:modified>
</cp:coreProperties>
</file>