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2B1475D-D391-46BF-ACDA-34404823F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3" i="1" l="1"/>
  <c r="F83" i="1" s="1"/>
  <c r="G83" i="1" s="1"/>
  <c r="K83" i="1" s="1"/>
  <c r="Q83" i="1"/>
  <c r="E84" i="1"/>
  <c r="F84" i="1" s="1"/>
  <c r="G84" i="1" s="1"/>
  <c r="K84" i="1" s="1"/>
  <c r="Q84" i="1"/>
  <c r="D9" i="1"/>
  <c r="C9" i="1"/>
  <c r="Q82" i="1"/>
  <c r="E31" i="1"/>
  <c r="F31" i="1"/>
  <c r="E36" i="1"/>
  <c r="F36" i="1"/>
  <c r="E39" i="1"/>
  <c r="F39" i="1"/>
  <c r="E44" i="1"/>
  <c r="F44" i="1"/>
  <c r="E47" i="1"/>
  <c r="F47" i="1"/>
  <c r="Q80" i="1"/>
  <c r="Q81" i="1"/>
  <c r="C7" i="1"/>
  <c r="E82" i="1"/>
  <c r="F82" i="1"/>
  <c r="C8" i="1"/>
  <c r="E54" i="1"/>
  <c r="F54" i="1"/>
  <c r="G54" i="1"/>
  <c r="I54" i="1"/>
  <c r="E55" i="1"/>
  <c r="F55" i="1"/>
  <c r="E61" i="1"/>
  <c r="F61" i="1"/>
  <c r="G61" i="1"/>
  <c r="I61" i="1"/>
  <c r="E62" i="1"/>
  <c r="F62" i="1"/>
  <c r="E66" i="1"/>
  <c r="F66" i="1"/>
  <c r="E64" i="1"/>
  <c r="F64" i="1"/>
  <c r="E60" i="1"/>
  <c r="F60" i="1"/>
  <c r="G6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67" i="1"/>
  <c r="Q69" i="1"/>
  <c r="Q75" i="1"/>
  <c r="Q76" i="1"/>
  <c r="Q77" i="1"/>
  <c r="Q78" i="1"/>
  <c r="G23" i="2"/>
  <c r="C23" i="2"/>
  <c r="G67" i="2"/>
  <c r="C67" i="2"/>
  <c r="G66" i="2"/>
  <c r="C66" i="2"/>
  <c r="G65" i="2"/>
  <c r="C65" i="2"/>
  <c r="G64" i="2"/>
  <c r="C64" i="2"/>
  <c r="G22" i="2"/>
  <c r="C22" i="2"/>
  <c r="G21" i="2"/>
  <c r="C21" i="2"/>
  <c r="G20" i="2"/>
  <c r="C20" i="2"/>
  <c r="G63" i="2"/>
  <c r="C63" i="2"/>
  <c r="E63" i="2"/>
  <c r="G19" i="2"/>
  <c r="C19" i="2"/>
  <c r="G62" i="2"/>
  <c r="C62" i="2"/>
  <c r="G61" i="2"/>
  <c r="C61" i="2"/>
  <c r="G18" i="2"/>
  <c r="C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G60" i="2"/>
  <c r="C60" i="2"/>
  <c r="G59" i="2"/>
  <c r="C59" i="2"/>
  <c r="G58" i="2"/>
  <c r="C58" i="2"/>
  <c r="G57" i="2"/>
  <c r="C57" i="2"/>
  <c r="E57" i="2"/>
  <c r="G56" i="2"/>
  <c r="C56" i="2"/>
  <c r="E56" i="2"/>
  <c r="G55" i="2"/>
  <c r="C55" i="2"/>
  <c r="G54" i="2"/>
  <c r="C54" i="2"/>
  <c r="G11" i="2"/>
  <c r="C11" i="2"/>
  <c r="G53" i="2"/>
  <c r="C53" i="2"/>
  <c r="G52" i="2"/>
  <c r="C52" i="2"/>
  <c r="G51" i="2"/>
  <c r="C51" i="2"/>
  <c r="G50" i="2"/>
  <c r="C50" i="2"/>
  <c r="E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22" i="2"/>
  <c r="B22" i="2"/>
  <c r="D22" i="2"/>
  <c r="A22" i="2"/>
  <c r="H21" i="2"/>
  <c r="D21" i="2"/>
  <c r="B21" i="2"/>
  <c r="A21" i="2"/>
  <c r="H20" i="2"/>
  <c r="B20" i="2"/>
  <c r="D20" i="2"/>
  <c r="A20" i="2"/>
  <c r="H63" i="2"/>
  <c r="D63" i="2"/>
  <c r="B63" i="2"/>
  <c r="A63" i="2"/>
  <c r="H19" i="2"/>
  <c r="B19" i="2"/>
  <c r="D19" i="2"/>
  <c r="A19" i="2"/>
  <c r="H62" i="2"/>
  <c r="D62" i="2"/>
  <c r="B62" i="2"/>
  <c r="A62" i="2"/>
  <c r="H61" i="2"/>
  <c r="B61" i="2"/>
  <c r="D61" i="2"/>
  <c r="A6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11" i="2"/>
  <c r="D11" i="2"/>
  <c r="B11" i="2"/>
  <c r="A11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Q79" i="1"/>
  <c r="F16" i="1"/>
  <c r="F17" i="1" s="1"/>
  <c r="C17" i="1"/>
  <c r="Q70" i="1"/>
  <c r="Q74" i="1"/>
  <c r="Q59" i="1"/>
  <c r="Q71" i="1"/>
  <c r="Q72" i="1"/>
  <c r="Q73" i="1"/>
  <c r="Q61" i="1"/>
  <c r="Q62" i="1"/>
  <c r="Q63" i="1"/>
  <c r="Q66" i="1"/>
  <c r="Q68" i="1"/>
  <c r="Q64" i="1"/>
  <c r="Q65" i="1"/>
  <c r="Q60" i="1"/>
  <c r="I60" i="1"/>
  <c r="Q51" i="1"/>
  <c r="E23" i="2"/>
  <c r="E51" i="2"/>
  <c r="G25" i="1"/>
  <c r="H25" i="1"/>
  <c r="E23" i="1"/>
  <c r="E72" i="1"/>
  <c r="F72" i="1"/>
  <c r="E68" i="1"/>
  <c r="F68" i="1"/>
  <c r="E28" i="1"/>
  <c r="G22" i="1"/>
  <c r="H22" i="1"/>
  <c r="G76" i="1"/>
  <c r="K76" i="1"/>
  <c r="E74" i="1"/>
  <c r="F74" i="1"/>
  <c r="E81" i="1"/>
  <c r="F81" i="1"/>
  <c r="E57" i="1"/>
  <c r="F57" i="1"/>
  <c r="U57" i="1"/>
  <c r="E52" i="1"/>
  <c r="E50" i="1"/>
  <c r="F50" i="1"/>
  <c r="G50" i="1"/>
  <c r="I50" i="1"/>
  <c r="G43" i="1"/>
  <c r="H43" i="1"/>
  <c r="E41" i="1"/>
  <c r="F41" i="1"/>
  <c r="G41" i="1"/>
  <c r="H41" i="1"/>
  <c r="E33" i="1"/>
  <c r="F33" i="1"/>
  <c r="G33" i="1"/>
  <c r="H33" i="1"/>
  <c r="E25" i="1"/>
  <c r="F25" i="1"/>
  <c r="E70" i="1"/>
  <c r="G79" i="1"/>
  <c r="J79" i="1"/>
  <c r="E77" i="1"/>
  <c r="F77" i="1"/>
  <c r="U77" i="1"/>
  <c r="K77" i="1"/>
  <c r="E46" i="1"/>
  <c r="F46" i="1"/>
  <c r="G46" i="1"/>
  <c r="H46" i="1"/>
  <c r="E38" i="1"/>
  <c r="F38" i="1"/>
  <c r="G38" i="1"/>
  <c r="H38" i="1"/>
  <c r="E30" i="1"/>
  <c r="F30" i="1"/>
  <c r="G30" i="1"/>
  <c r="H30" i="1"/>
  <c r="G24" i="1"/>
  <c r="H24" i="1"/>
  <c r="E22" i="1"/>
  <c r="F22" i="1"/>
  <c r="E76" i="1"/>
  <c r="F76" i="1"/>
  <c r="G66" i="1"/>
  <c r="I66" i="1"/>
  <c r="E67" i="1"/>
  <c r="F67" i="1"/>
  <c r="G67" i="1"/>
  <c r="J67" i="1"/>
  <c r="U53" i="1"/>
  <c r="E49" i="1"/>
  <c r="F49" i="1"/>
  <c r="U49" i="1"/>
  <c r="E43" i="1"/>
  <c r="F43" i="1"/>
  <c r="E35" i="1"/>
  <c r="F35" i="1"/>
  <c r="G35" i="1"/>
  <c r="H35" i="1"/>
  <c r="E27" i="1"/>
  <c r="F27" i="1"/>
  <c r="G27" i="1"/>
  <c r="H27" i="1"/>
  <c r="G75" i="1"/>
  <c r="K75" i="1"/>
  <c r="E73" i="1"/>
  <c r="E79" i="1"/>
  <c r="F79" i="1"/>
  <c r="E59" i="1"/>
  <c r="F59" i="1"/>
  <c r="G59" i="1"/>
  <c r="I59" i="1"/>
  <c r="E63" i="1"/>
  <c r="E56" i="1"/>
  <c r="F56" i="1"/>
  <c r="G56" i="1"/>
  <c r="I56" i="1"/>
  <c r="G51" i="1"/>
  <c r="H51" i="1"/>
  <c r="E48" i="1"/>
  <c r="F48" i="1"/>
  <c r="G48" i="1"/>
  <c r="H48" i="1"/>
  <c r="E40" i="1"/>
  <c r="F40" i="1"/>
  <c r="G40" i="1"/>
  <c r="H40" i="1"/>
  <c r="E32" i="1"/>
  <c r="F32" i="1"/>
  <c r="G32" i="1"/>
  <c r="H32" i="1"/>
  <c r="E24" i="1"/>
  <c r="F24" i="1"/>
  <c r="G71" i="1"/>
  <c r="E69" i="1"/>
  <c r="F69" i="1"/>
  <c r="G69" i="1"/>
  <c r="J69" i="1"/>
  <c r="G65" i="1"/>
  <c r="I65" i="1"/>
  <c r="E80" i="1"/>
  <c r="F80" i="1"/>
  <c r="U80" i="1"/>
  <c r="G82" i="1"/>
  <c r="I82" i="1"/>
  <c r="E65" i="1"/>
  <c r="F65" i="1"/>
  <c r="G62" i="1"/>
  <c r="I62" i="1"/>
  <c r="U55" i="1"/>
  <c r="E53" i="1"/>
  <c r="F53" i="1"/>
  <c r="G47" i="1"/>
  <c r="H47" i="1"/>
  <c r="E45" i="1"/>
  <c r="F45" i="1"/>
  <c r="G45" i="1"/>
  <c r="H45" i="1"/>
  <c r="G39" i="1"/>
  <c r="H39" i="1"/>
  <c r="E37" i="1"/>
  <c r="F37" i="1"/>
  <c r="G37" i="1"/>
  <c r="H37" i="1"/>
  <c r="G31" i="1"/>
  <c r="H31" i="1"/>
  <c r="E29" i="1"/>
  <c r="F29" i="1"/>
  <c r="G29" i="1"/>
  <c r="H29" i="1"/>
  <c r="E21" i="1"/>
  <c r="F21" i="1"/>
  <c r="G21" i="1"/>
  <c r="H21" i="1"/>
  <c r="E75" i="1"/>
  <c r="F75" i="1"/>
  <c r="G68" i="1"/>
  <c r="I68" i="1"/>
  <c r="G64" i="1"/>
  <c r="I64" i="1"/>
  <c r="E58" i="1"/>
  <c r="F58" i="1"/>
  <c r="U58" i="1"/>
  <c r="E51" i="1"/>
  <c r="F51" i="1"/>
  <c r="G44" i="1"/>
  <c r="I44" i="1"/>
  <c r="E42" i="1"/>
  <c r="F42" i="1"/>
  <c r="G42" i="1"/>
  <c r="H42" i="1"/>
  <c r="G36" i="1"/>
  <c r="H36" i="1"/>
  <c r="E34" i="1"/>
  <c r="F34" i="1"/>
  <c r="G34" i="1"/>
  <c r="H34" i="1"/>
  <c r="E26" i="1"/>
  <c r="F26" i="1"/>
  <c r="G26" i="1"/>
  <c r="H26" i="1"/>
  <c r="G74" i="1"/>
  <c r="J74" i="1"/>
  <c r="E71" i="1"/>
  <c r="F71" i="1"/>
  <c r="G81" i="1"/>
  <c r="I81" i="1"/>
  <c r="E78" i="1"/>
  <c r="E18" i="2"/>
  <c r="E20" i="2"/>
  <c r="F70" i="1"/>
  <c r="G70" i="1"/>
  <c r="K70" i="1"/>
  <c r="E19" i="2"/>
  <c r="F28" i="1"/>
  <c r="G28" i="1"/>
  <c r="H28" i="1"/>
  <c r="E31" i="2"/>
  <c r="E60" i="2"/>
  <c r="E37" i="2"/>
  <c r="E22" i="2"/>
  <c r="E53" i="2"/>
  <c r="E48" i="2"/>
  <c r="K71" i="1"/>
  <c r="F52" i="1"/>
  <c r="U52" i="1"/>
  <c r="E54" i="2"/>
  <c r="E38" i="2"/>
  <c r="E33" i="2"/>
  <c r="E61" i="2"/>
  <c r="E49" i="2"/>
  <c r="E29" i="2"/>
  <c r="F63" i="1"/>
  <c r="U63" i="1"/>
  <c r="E16" i="2"/>
  <c r="E28" i="2"/>
  <c r="E62" i="2"/>
  <c r="E45" i="2"/>
  <c r="E44" i="2"/>
  <c r="E24" i="2"/>
  <c r="E59" i="2"/>
  <c r="E41" i="2"/>
  <c r="E35" i="2"/>
  <c r="E65" i="2"/>
  <c r="F78" i="1"/>
  <c r="G78" i="1"/>
  <c r="K78" i="1"/>
  <c r="E67" i="2"/>
  <c r="E36" i="2"/>
  <c r="E46" i="2"/>
  <c r="E58" i="2"/>
  <c r="E30" i="2"/>
  <c r="E12" i="2"/>
  <c r="F73" i="1"/>
  <c r="G73" i="1"/>
  <c r="E21" i="2"/>
  <c r="E64" i="2"/>
  <c r="E32" i="2"/>
  <c r="E11" i="2"/>
  <c r="E25" i="2"/>
  <c r="E52" i="2"/>
  <c r="F23" i="1"/>
  <c r="G23" i="1"/>
  <c r="H23" i="1"/>
  <c r="E26" i="2"/>
  <c r="E55" i="2"/>
  <c r="E27" i="2"/>
  <c r="E40" i="2"/>
  <c r="E66" i="2"/>
  <c r="E43" i="2"/>
  <c r="K73" i="1"/>
  <c r="C11" i="1"/>
  <c r="C12" i="1"/>
  <c r="O84" i="1" l="1"/>
  <c r="O83" i="1"/>
  <c r="C16" i="1"/>
  <c r="D18" i="1" s="1"/>
  <c r="O37" i="1"/>
  <c r="O24" i="1"/>
  <c r="O68" i="1"/>
  <c r="O76" i="1"/>
  <c r="O73" i="1"/>
  <c r="O66" i="1"/>
  <c r="O23" i="1"/>
  <c r="O34" i="1"/>
  <c r="O32" i="1"/>
  <c r="O79" i="1"/>
  <c r="O61" i="1"/>
  <c r="O42" i="1"/>
  <c r="O25" i="1"/>
  <c r="O55" i="1"/>
  <c r="O62" i="1"/>
  <c r="O67" i="1"/>
  <c r="O44" i="1"/>
  <c r="O63" i="1"/>
  <c r="O53" i="1"/>
  <c r="O77" i="1"/>
  <c r="O70" i="1"/>
  <c r="O56" i="1"/>
  <c r="O59" i="1"/>
  <c r="O26" i="1"/>
  <c r="O45" i="1"/>
  <c r="O71" i="1"/>
  <c r="O60" i="1"/>
  <c r="O31" i="1"/>
  <c r="O65" i="1"/>
  <c r="O28" i="1"/>
  <c r="O35" i="1"/>
  <c r="O41" i="1"/>
  <c r="O50" i="1"/>
  <c r="O21" i="1"/>
  <c r="O72" i="1"/>
  <c r="O69" i="1"/>
  <c r="O80" i="1"/>
  <c r="O29" i="1"/>
  <c r="O49" i="1"/>
  <c r="O51" i="1"/>
  <c r="O52" i="1"/>
  <c r="O40" i="1"/>
  <c r="O81" i="1"/>
  <c r="O39" i="1"/>
  <c r="O78" i="1"/>
  <c r="O48" i="1"/>
  <c r="O27" i="1"/>
  <c r="O22" i="1"/>
  <c r="O33" i="1"/>
  <c r="O36" i="1"/>
  <c r="O47" i="1"/>
  <c r="O75" i="1"/>
  <c r="O30" i="1"/>
  <c r="O82" i="1"/>
  <c r="O64" i="1"/>
  <c r="O74" i="1"/>
  <c r="O43" i="1"/>
  <c r="O38" i="1"/>
  <c r="O57" i="1"/>
  <c r="O54" i="1"/>
  <c r="O58" i="1"/>
  <c r="O46" i="1"/>
  <c r="C15" i="1"/>
  <c r="F18" i="1" l="1"/>
  <c r="F19" i="1" s="1"/>
  <c r="C18" i="1"/>
</calcChain>
</file>

<file path=xl/sharedStrings.xml><?xml version="1.0" encoding="utf-8"?>
<sst xmlns="http://schemas.openxmlformats.org/spreadsheetml/2006/main" count="663" uniqueCount="301">
  <si>
    <t>IBVS 6244</t>
  </si>
  <si>
    <t>IBVS 6196</t>
  </si>
  <si>
    <t>OEJV 0181</t>
  </si>
  <si>
    <t>0.0195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</si>
  <si>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</si>
  <si>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</si>
  <si>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</si>
  <si>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</si>
  <si>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</si>
  <si>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</si>
  <si>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</si>
  <si>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</si>
  <si>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</si>
  <si>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</si>
  <si>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</si>
  <si>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</si>
  <si>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</si>
  <si>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</si>
  <si>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</si>
  <si>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</si>
  <si>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</si>
  <si>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</si>
  <si>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</si>
  <si>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</si>
  <si>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</si>
  <si>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</si>
  <si>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</si>
  <si>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</si>
  <si>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</si>
  <si>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</si>
  <si>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</si>
  <si>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</si>
  <si>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:</t>
  </si>
  <si>
    <t>v</t>
  </si>
  <si>
    <t>K</t>
  </si>
  <si>
    <t>phe</t>
  </si>
  <si>
    <t>AP SP SCI 92,149</t>
  </si>
  <si>
    <t>S</t>
  </si>
  <si>
    <t>Wils P</t>
  </si>
  <si>
    <t>BBSAG Bull.69</t>
  </si>
  <si>
    <t>B</t>
  </si>
  <si>
    <t>Paschke A</t>
  </si>
  <si>
    <t>BBSAG Bull.86</t>
  </si>
  <si>
    <t>V</t>
  </si>
  <si>
    <t>BAV-M 62</t>
  </si>
  <si>
    <t>IBVS 4108</t>
  </si>
  <si>
    <t>II</t>
  </si>
  <si>
    <t>IBVS 5494</t>
  </si>
  <si>
    <t>I</t>
  </si>
  <si>
    <t>EA/DM</t>
  </si>
  <si>
    <t>IBVS 0740</t>
  </si>
  <si>
    <t/>
  </si>
  <si>
    <t>IBVS 5594</t>
  </si>
  <si>
    <t>XX Cas / GSC 04031-02769</t>
  </si>
  <si>
    <t>IBVS 5761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</si>
  <si>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</si>
  <si>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</si>
  <si>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</si>
  <si>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</si>
  <si>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</si>
  <si>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</si>
  <si>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</si>
  <si>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</si>
  <si>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</si>
  <si>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</si>
  <si>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</si>
  <si>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</si>
  <si>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</si>
  <si>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</si>
  <si>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</si>
  <si>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</si>
  <si>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</si>
  <si>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</si>
  <si>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</si>
  <si>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</si>
  <si>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</si>
  <si>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</si>
  <si>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2423369.418 </t>
  </si>
  <si>
    <t> 10.11.1922 22:01 </t>
  </si>
  <si>
    <t> -0.010 </t>
  </si>
  <si>
    <t>V </t>
  </si>
  <si>
    <t> E.Leiner </t>
  </si>
  <si>
    <t> AN 222.141 </t>
  </si>
  <si>
    <t>2423501.320 </t>
  </si>
  <si>
    <t> 22.03.1923 19:40 </t>
  </si>
  <si>
    <t> 0.003 </t>
  </si>
  <si>
    <t>2423504.384 </t>
  </si>
  <si>
    <t> 25.03.1923 21:12 </t>
  </si>
  <si>
    <t> -0.000 </t>
  </si>
  <si>
    <t>2423642.408 </t>
  </si>
  <si>
    <t> 10.08.1923 21:47 </t>
  </si>
  <si>
    <t> 0.001 </t>
  </si>
  <si>
    <t>2423694.554 </t>
  </si>
  <si>
    <t> 02.10.1923 01:17 </t>
  </si>
  <si>
    <t> 0.005 </t>
  </si>
  <si>
    <t> W.Zessewitsch </t>
  </si>
  <si>
    <t> IODE 4.1.177 </t>
  </si>
  <si>
    <t>2423774.320 </t>
  </si>
  <si>
    <t> 20.12.1923 19:40 </t>
  </si>
  <si>
    <t> 0.024 </t>
  </si>
  <si>
    <t>2423826.439 </t>
  </si>
  <si>
    <t> 10.02.1924 22:32 </t>
  </si>
  <si>
    <t>2423872.462 </t>
  </si>
  <si>
    <t> 27.03.1924 23:05 </t>
  </si>
  <si>
    <t> 0.017 </t>
  </si>
  <si>
    <t>2424237.433 </t>
  </si>
  <si>
    <t> 27.03.1925 22:23 </t>
  </si>
  <si>
    <t> -0.007 </t>
  </si>
  <si>
    <t> J.Pagaczewski </t>
  </si>
  <si>
    <t> AAB 2.33 </t>
  </si>
  <si>
    <t>2424243.559 </t>
  </si>
  <si>
    <t> 03.04.1925 01:24 </t>
  </si>
  <si>
    <t> -0.015 </t>
  </si>
  <si>
    <t>2424289.604 </t>
  </si>
  <si>
    <t> 19.05.1925 02:29 </t>
  </si>
  <si>
    <t> 0.022 </t>
  </si>
  <si>
    <t>2424648.435 </t>
  </si>
  <si>
    <t> 12.05.1926 22:26 </t>
  </si>
  <si>
    <t> -0.006 </t>
  </si>
  <si>
    <t>2425326.283 </t>
  </si>
  <si>
    <t> 20.03.1928 18:47 </t>
  </si>
  <si>
    <t> -0.005 </t>
  </si>
  <si>
    <t>2425326.284 </t>
  </si>
  <si>
    <t> 20.03.1928 18:48 </t>
  </si>
  <si>
    <t> -0.004 </t>
  </si>
  <si>
    <t> S.Gaposchkin </t>
  </si>
  <si>
    <t> HB 900.13 </t>
  </si>
  <si>
    <t>2425326.286 </t>
  </si>
  <si>
    <t> 20.03.1928 18:51 </t>
  </si>
  <si>
    <t> -0.002 </t>
  </si>
  <si>
    <t> N.L.Pierce </t>
  </si>
  <si>
    <t> CPRI 18.10 </t>
  </si>
  <si>
    <t>2425332.430 </t>
  </si>
  <si>
    <t> 26.03.1928 22:19 </t>
  </si>
  <si>
    <t> 0.008 </t>
  </si>
  <si>
    <t> J.Mergentaler </t>
  </si>
  <si>
    <t>2425559.382 </t>
  </si>
  <si>
    <t> 08.11.1928 21:10 </t>
  </si>
  <si>
    <t> -0.011 </t>
  </si>
  <si>
    <t>2425743.411 </t>
  </si>
  <si>
    <t> 11.05.1929 21:51 </t>
  </si>
  <si>
    <t> -0.013 </t>
  </si>
  <si>
    <t>2425841.553 </t>
  </si>
  <si>
    <t> 18.08.1929 01:16 </t>
  </si>
  <si>
    <t> -0.020 </t>
  </si>
  <si>
    <t>2425881.444 </t>
  </si>
  <si>
    <t> 26.09.1929 22:39 </t>
  </si>
  <si>
    <t>2426114.550 </t>
  </si>
  <si>
    <t> 18.05.1930 01:12 </t>
  </si>
  <si>
    <t>2426160.579 </t>
  </si>
  <si>
    <t> 03.07.1930 01:53 </t>
  </si>
  <si>
    <t> 0.019 </t>
  </si>
  <si>
    <t>2426473.399 </t>
  </si>
  <si>
    <t> 11.05.1931 21:34 </t>
  </si>
  <si>
    <t>2427157.398 </t>
  </si>
  <si>
    <t> 25.03.1933 21:33 </t>
  </si>
  <si>
    <t> 0.006 </t>
  </si>
  <si>
    <t> J.Gadomski </t>
  </si>
  <si>
    <t> WARC 15.4 </t>
  </si>
  <si>
    <t>2428095.946 </t>
  </si>
  <si>
    <t> 20.10.1935 10:42 </t>
  </si>
  <si>
    <t> E.J.Woodward </t>
  </si>
  <si>
    <t> HB 917.7 </t>
  </si>
  <si>
    <t>2428218.632 </t>
  </si>
  <si>
    <t> 20.02.1936 03:10 </t>
  </si>
  <si>
    <t>2428405.726 </t>
  </si>
  <si>
    <t> 25.08.1936 05:25 </t>
  </si>
  <si>
    <t> -0.008 </t>
  </si>
  <si>
    <t>2429672.440 </t>
  </si>
  <si>
    <t> 12.02.1940 22:33 </t>
  </si>
  <si>
    <t> -0.038 </t>
  </si>
  <si>
    <t> HA 113.72 </t>
  </si>
  <si>
    <t>2433543.27 </t>
  </si>
  <si>
    <t> 18.09.1950 18:28 </t>
  </si>
  <si>
    <t> 0.01 </t>
  </si>
  <si>
    <t> S.Kaho </t>
  </si>
  <si>
    <t> BTOK 49.384 </t>
  </si>
  <si>
    <t>2436527.619 </t>
  </si>
  <si>
    <t> 20.11.1958 02:51 </t>
  </si>
  <si>
    <t> 0.000 </t>
  </si>
  <si>
    <t>E </t>
  </si>
  <si>
    <t>?</t>
  </si>
  <si>
    <t> K.C.Chou </t>
  </si>
  <si>
    <t> AJ 64.469 </t>
  </si>
  <si>
    <t>2437018.426 </t>
  </si>
  <si>
    <t> 24.03.1960 22:13 </t>
  </si>
  <si>
    <t> 0.059 </t>
  </si>
  <si>
    <t>P </t>
  </si>
  <si>
    <t> T.Berthold </t>
  </si>
  <si>
    <t> HABZ 57 </t>
  </si>
  <si>
    <t>2437696.283 </t>
  </si>
  <si>
    <t> 31.01.1962 18:47 </t>
  </si>
  <si>
    <t> 0.069 </t>
  </si>
  <si>
    <t> E.Splittgerber </t>
  </si>
  <si>
    <t> MVS 6.53 </t>
  </si>
  <si>
    <t>2438113.354 </t>
  </si>
  <si>
    <t> 24.03.1963 20:29 </t>
  </si>
  <si>
    <t> 0.004 </t>
  </si>
  <si>
    <t>2438343.441 </t>
  </si>
  <si>
    <t> 09.11.1963 22:35 </t>
  </si>
  <si>
    <t> 0.053 </t>
  </si>
  <si>
    <t>2438708.397 </t>
  </si>
  <si>
    <t> 08.11.1964 21:31 </t>
  </si>
  <si>
    <t> 0.015 </t>
  </si>
  <si>
    <t>2439441.497 </t>
  </si>
  <si>
    <t> 11.11.1966 23:55 </t>
  </si>
  <si>
    <t> 0.060 </t>
  </si>
  <si>
    <t>2439533.379 </t>
  </si>
  <si>
    <t> 11.02.1967 21:05 </t>
  </si>
  <si>
    <t> -0.074 </t>
  </si>
  <si>
    <t>2441542.443 </t>
  </si>
  <si>
    <t> 12.08.1972 22:37 </t>
  </si>
  <si>
    <t> L.Frasinski </t>
  </si>
  <si>
    <t>IBVS 740 </t>
  </si>
  <si>
    <t>2441542.450 </t>
  </si>
  <si>
    <t> 12.08.1972 22:48 </t>
  </si>
  <si>
    <t> K.Szlachcic </t>
  </si>
  <si>
    <t>2441990.253 </t>
  </si>
  <si>
    <t> 03.11.1973 18:04 </t>
  </si>
  <si>
    <t> -0.009 </t>
  </si>
  <si>
    <t> R.K.Srivastava </t>
  </si>
  <si>
    <t> ASS 92.150 </t>
  </si>
  <si>
    <t>2442007.137 </t>
  </si>
  <si>
    <t> 20.11.1973 15:17 </t>
  </si>
  <si>
    <t>2442010.166 </t>
  </si>
  <si>
    <t> 23.11.1973 15:59 </t>
  </si>
  <si>
    <t> -0.032 </t>
  </si>
  <si>
    <t>2445603.417 </t>
  </si>
  <si>
    <t> 25.09.1983 22:00 </t>
  </si>
  <si>
    <t> 0.020 </t>
  </si>
  <si>
    <t> P.Wils </t>
  </si>
  <si>
    <t> BBS 69 </t>
  </si>
  <si>
    <t>2446333.39 </t>
  </si>
  <si>
    <t> 24.09.1985 21:21 </t>
  </si>
  <si>
    <t> A.Paschke </t>
  </si>
  <si>
    <t> BBS 86 </t>
  </si>
  <si>
    <t>2448888.3476 </t>
  </si>
  <si>
    <t> 22.09.1992 20:20 </t>
  </si>
  <si>
    <t> 0.0041 </t>
  </si>
  <si>
    <t>G</t>
  </si>
  <si>
    <t> F.Agerer </t>
  </si>
  <si>
    <t>BAVM 62 </t>
  </si>
  <si>
    <t>2448888.3481 </t>
  </si>
  <si>
    <t> 22.09.1992 20:21 </t>
  </si>
  <si>
    <t> 0.0046 </t>
  </si>
  <si>
    <t>B;V</t>
  </si>
  <si>
    <t>2449308.5557 </t>
  </si>
  <si>
    <t> 17.11.1993 01:20 </t>
  </si>
  <si>
    <t> 0.0089 </t>
  </si>
  <si>
    <t>R</t>
  </si>
  <si>
    <t> Hawkins &amp; Downey </t>
  </si>
  <si>
    <t>IBVS 4108 </t>
  </si>
  <si>
    <t>2452188.6360 </t>
  </si>
  <si>
    <t> 06.10.2001 03:15 </t>
  </si>
  <si>
    <t> 0.0097 </t>
  </si>
  <si>
    <t> Sarounova &amp; Wolf </t>
  </si>
  <si>
    <t>IBVS 5594 </t>
  </si>
  <si>
    <t>2452947.8024 </t>
  </si>
  <si>
    <t> 04.11.2003 07:15 </t>
  </si>
  <si>
    <t> 0.0497 </t>
  </si>
  <si>
    <t> Karska&amp;Maciejewski </t>
  </si>
  <si>
    <t>IBVS 5494 </t>
  </si>
  <si>
    <t>2452949.2971 </t>
  </si>
  <si>
    <t> 05.11.2003 19:07 </t>
  </si>
  <si>
    <t> 0.0108 </t>
  </si>
  <si>
    <t>2454096.4264 </t>
  </si>
  <si>
    <t> 26.12.2006 22:14 </t>
  </si>
  <si>
    <t> 0.0158 </t>
  </si>
  <si>
    <t>C </t>
  </si>
  <si>
    <t>-I</t>
  </si>
  <si>
    <t> F. Agerer </t>
  </si>
  <si>
    <t>BAVM 183 </t>
  </si>
  <si>
    <t>2454850.9535 </t>
  </si>
  <si>
    <t> 19.01.2009 10:53 </t>
  </si>
  <si>
    <t>5974</t>
  </si>
  <si>
    <t> 0.0173 </t>
  </si>
  <si>
    <t> H.Itoh </t>
  </si>
  <si>
    <t>VSB 50 </t>
  </si>
  <si>
    <t>2455154.6029 </t>
  </si>
  <si>
    <t> 19.11.2009 02:28 </t>
  </si>
  <si>
    <t>6073</t>
  </si>
  <si>
    <t> 0.0162 </t>
  </si>
  <si>
    <t>BAVM 212 </t>
  </si>
  <si>
    <t>2455858.5329 </t>
  </si>
  <si>
    <t> 24.10.2011 00:47 </t>
  </si>
  <si>
    <t>6302.5</t>
  </si>
  <si>
    <t> 0.0290 </t>
  </si>
  <si>
    <t>BAVM 225 </t>
  </si>
  <si>
    <t>2456154.50375 </t>
  </si>
  <si>
    <t> 15.08.2012 00:05 </t>
  </si>
  <si>
    <t>6399</t>
  </si>
  <si>
    <t> 0.01721 </t>
  </si>
  <si>
    <t> M.Moudra </t>
  </si>
  <si>
    <t>OEJV 0160 </t>
  </si>
  <si>
    <t>2456924.3675 </t>
  </si>
  <si>
    <t> 23.09.2014 20:49 </t>
  </si>
  <si>
    <t>6650</t>
  </si>
  <si>
    <t> 0.0195 </t>
  </si>
  <si>
    <t>BAVM 239 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</si>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</sst>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22" fillId="0" borderId="0" xfId="42" applyFont="1" applyAlignment="1">
      <alignment wrapText="1"/>
    </xf>
    <xf numFmtId="0" fontId="22" fillId="0" borderId="0" xfId="42" applyFont="1" applyAlignment="1">
      <alignment horizontal="center" wrapText="1"/>
    </xf>
    <xf numFmtId="0" fontId="22" fillId="0" borderId="0" xfId="42" applyFont="1" applyAlignment="1">
      <alignment horizontal="left" wrapText="1"/>
    </xf>
    <xf numFmtId="0" fontId="17" fillId="0" borderId="0" xfId="43" applyFont="1"/>
    <xf numFmtId="0" fontId="17" fillId="0" borderId="0" xfId="43" applyFont="1" applyAlignment="1">
      <alignment horizontal="center" wrapText="1"/>
    </xf>
    <xf numFmtId="0" fontId="17" fillId="0" borderId="0" xfId="43" applyFont="1" applyAlignment="1">
      <alignment horizontal="left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Cas - O-C Diagr.</a:t>
            </a:r>
          </a:p>
        </c:rich>
      </c:tx>
      <c:layout>
        <c:manualLayout>
          <c:xMode val="edge"/>
          <c:yMode val="edge"/>
          <c:x val="0.358736449765340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996354223863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-1.0382999997091247E-2</c:v>
                </c:pt>
                <c:pt idx="1">
                  <c:v>2.9931000026408583E-3</c:v>
                </c:pt>
                <c:pt idx="2">
                  <c:v>-1.8419999832985923E-4</c:v>
                </c:pt>
                <c:pt idx="3">
                  <c:v>8.3729999823844992E-4</c:v>
                </c:pt>
                <c:pt idx="4">
                  <c:v>4.8232000008283649E-3</c:v>
                </c:pt>
                <c:pt idx="5">
                  <c:v>2.4213400000007823E-2</c:v>
                </c:pt>
                <c:pt idx="6">
                  <c:v>1.1993000007350929E-3</c:v>
                </c:pt>
                <c:pt idx="7">
                  <c:v>1.6539800002647098E-2</c:v>
                </c:pt>
                <c:pt idx="8">
                  <c:v>-6.5588999968895223E-3</c:v>
                </c:pt>
                <c:pt idx="9">
                  <c:v>-1.4913499995600432E-2</c:v>
                </c:pt>
                <c:pt idx="10">
                  <c:v>2.2426999999879627E-2</c:v>
                </c:pt>
                <c:pt idx="11">
                  <c:v>-6.3170999965223018E-3</c:v>
                </c:pt>
                <c:pt idx="12">
                  <c:v>-4.5003999985055998E-3</c:v>
                </c:pt>
                <c:pt idx="13">
                  <c:v>-3.500399998301873E-3</c:v>
                </c:pt>
                <c:pt idx="14">
                  <c:v>-1.5003999978944194E-3</c:v>
                </c:pt>
                <c:pt idx="15">
                  <c:v>8.1449999997857958E-3</c:v>
                </c:pt>
                <c:pt idx="16">
                  <c:v>-1.09751999953005E-2</c:v>
                </c:pt>
                <c:pt idx="17">
                  <c:v>-1.2613200000487268E-2</c:v>
                </c:pt>
                <c:pt idx="18">
                  <c:v>-2.0286799997847993E-2</c:v>
                </c:pt>
                <c:pt idx="19">
                  <c:v>-2.5916999984474387E-3</c:v>
                </c:pt>
                <c:pt idx="20">
                  <c:v>-2.0665000010922085E-3</c:v>
                </c:pt>
                <c:pt idx="21">
                  <c:v>1.9274000002042158E-2</c:v>
                </c:pt>
                <c:pt idx="22">
                  <c:v>-1.2810599997465033E-2</c:v>
                </c:pt>
                <c:pt idx="24">
                  <c:v>-2.6022999991255347E-3</c:v>
                </c:pt>
                <c:pt idx="25">
                  <c:v>-2.6022999991255347E-3</c:v>
                </c:pt>
                <c:pt idx="26">
                  <c:v>-3.6942999977327418E-3</c:v>
                </c:pt>
                <c:pt idx="27">
                  <c:v>-7.5096000000485219E-3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D-4BB1-A0B3-C843693E76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3">
                  <c:v>5.6515000032959506E-3</c:v>
                </c:pt>
                <c:pt idx="29">
                  <c:v>1.4512900001136586E-2</c:v>
                </c:pt>
                <c:pt idx="33">
                  <c:v>4.3358999973861501E-3</c:v>
                </c:pt>
                <c:pt idx="35">
                  <c:v>1.4939699998649303E-2</c:v>
                </c:pt>
                <c:pt idx="38">
                  <c:v>-1.0885499999858439E-2</c:v>
                </c:pt>
                <c:pt idx="39">
                  <c:v>-3.8855000020703301E-3</c:v>
                </c:pt>
                <c:pt idx="40">
                  <c:v>-8.7713000029907562E-3</c:v>
                </c:pt>
                <c:pt idx="41">
                  <c:v>5.7535500018275343E-3</c:v>
                </c:pt>
                <c:pt idx="43">
                  <c:v>2.0369300000311341E-2</c:v>
                </c:pt>
                <c:pt idx="44">
                  <c:v>5.1719000039156526E-3</c:v>
                </c:pt>
                <c:pt idx="45">
                  <c:v>3.4809999997378327E-3</c:v>
                </c:pt>
                <c:pt idx="47">
                  <c:v>4.4809999963035807E-3</c:v>
                </c:pt>
                <c:pt idx="60">
                  <c:v>1.5019500002381392E-2</c:v>
                </c:pt>
                <c:pt idx="61">
                  <c:v>2.1586499999102671E-2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D-4BB1-A0B3-C843693E76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6">
                  <c:v>4.080999999132473E-3</c:v>
                </c:pt>
                <c:pt idx="48">
                  <c:v>4.5810000010533258E-3</c:v>
                </c:pt>
                <c:pt idx="53">
                  <c:v>1.5825599999516271E-2</c:v>
                </c:pt>
                <c:pt idx="58">
                  <c:v>1.945500000147149E-2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4D-4BB1-A0B3-C843693E76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8.8908999969135039E-3</c:v>
                </c:pt>
                <c:pt idx="50">
                  <c:v>9.7461999976076186E-3</c:v>
                </c:pt>
                <c:pt idx="52">
                  <c:v>1.0835800007043872E-2</c:v>
                </c:pt>
                <c:pt idx="54">
                  <c:v>1.7309800008661114E-2</c:v>
                </c:pt>
                <c:pt idx="55">
                  <c:v>1.6157099998963531E-2</c:v>
                </c:pt>
                <c:pt idx="56">
                  <c:v>2.8966749996470753E-2</c:v>
                </c:pt>
                <c:pt idx="57">
                  <c:v>1.720729999942705E-2</c:v>
                </c:pt>
                <c:pt idx="62">
                  <c:v>2.6230899995425716E-2</c:v>
                </c:pt>
                <c:pt idx="63">
                  <c:v>2.6186800001596566E-2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4D-4BB1-A0B3-C843693E76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4D-4BB1-A0B3-C843693E76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4D-4BB1-A0B3-C843693E76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4D-4BB1-A0B3-C843693E76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-4.8925284184849649E-2</c:v>
                </c:pt>
                <c:pt idx="1">
                  <c:v>-4.8655861351324901E-2</c:v>
                </c:pt>
                <c:pt idx="2">
                  <c:v>-4.8649595704033627E-2</c:v>
                </c:pt>
                <c:pt idx="3">
                  <c:v>-4.8367641575926337E-2</c:v>
                </c:pt>
                <c:pt idx="4">
                  <c:v>-4.8261125571974692E-2</c:v>
                </c:pt>
                <c:pt idx="5">
                  <c:v>-4.809821874240159E-2</c:v>
                </c:pt>
                <c:pt idx="6">
                  <c:v>-4.7991702738449951E-2</c:v>
                </c:pt>
                <c:pt idx="7">
                  <c:v>-4.7897718029080855E-2</c:v>
                </c:pt>
                <c:pt idx="8">
                  <c:v>-4.7152106001419343E-2</c:v>
                </c:pt>
                <c:pt idx="9">
                  <c:v>-4.7139574706836801E-2</c:v>
                </c:pt>
                <c:pt idx="10">
                  <c:v>-4.7045589997467704E-2</c:v>
                </c:pt>
                <c:pt idx="11">
                  <c:v>-4.6312509264388735E-2</c:v>
                </c:pt>
                <c:pt idx="12">
                  <c:v>-4.4927801213017371E-2</c:v>
                </c:pt>
                <c:pt idx="13">
                  <c:v>-4.4927801213017371E-2</c:v>
                </c:pt>
                <c:pt idx="14">
                  <c:v>-4.4927801213017371E-2</c:v>
                </c:pt>
                <c:pt idx="15">
                  <c:v>-4.4915269918434822E-2</c:v>
                </c:pt>
                <c:pt idx="16">
                  <c:v>-4.4451612018880607E-2</c:v>
                </c:pt>
                <c:pt idx="17">
                  <c:v>-4.4075673181404221E-2</c:v>
                </c:pt>
                <c:pt idx="18">
                  <c:v>-4.3875172468083479E-2</c:v>
                </c:pt>
                <c:pt idx="19">
                  <c:v>-4.3793719053296931E-2</c:v>
                </c:pt>
                <c:pt idx="20">
                  <c:v>-4.3317529859160167E-2</c:v>
                </c:pt>
                <c:pt idx="21">
                  <c:v>-4.3223545149791071E-2</c:v>
                </c:pt>
                <c:pt idx="22">
                  <c:v>-4.2584449126081211E-2</c:v>
                </c:pt>
                <c:pt idx="23">
                  <c:v>-4.1187209780127298E-2</c:v>
                </c:pt>
                <c:pt idx="24">
                  <c:v>-3.9269921708997707E-2</c:v>
                </c:pt>
                <c:pt idx="25">
                  <c:v>-3.9269921708997707E-2</c:v>
                </c:pt>
                <c:pt idx="26">
                  <c:v>-3.9019295817346783E-2</c:v>
                </c:pt>
                <c:pt idx="27">
                  <c:v>-3.8637091332579115E-2</c:v>
                </c:pt>
                <c:pt idx="28">
                  <c:v>-3.6049379001283306E-2</c:v>
                </c:pt>
                <c:pt idx="29">
                  <c:v>-2.8142132119696576E-2</c:v>
                </c:pt>
                <c:pt idx="30">
                  <c:v>-2.2045657305287791E-2</c:v>
                </c:pt>
                <c:pt idx="31">
                  <c:v>-2.1043153738684085E-2</c:v>
                </c:pt>
                <c:pt idx="32">
                  <c:v>-1.9658445687312717E-2</c:v>
                </c:pt>
                <c:pt idx="33">
                  <c:v>-1.8806317655699567E-2</c:v>
                </c:pt>
                <c:pt idx="34">
                  <c:v>-1.8336394108854081E-2</c:v>
                </c:pt>
                <c:pt idx="35">
                  <c:v>-1.7590782081192573E-2</c:v>
                </c:pt>
                <c:pt idx="36">
                  <c:v>-1.6093292378578289E-2</c:v>
                </c:pt>
                <c:pt idx="37">
                  <c:v>-1.5905322959840096E-2</c:v>
                </c:pt>
                <c:pt idx="38">
                  <c:v>-1.1801323984056174E-2</c:v>
                </c:pt>
                <c:pt idx="39">
                  <c:v>-1.1801323984056174E-2</c:v>
                </c:pt>
                <c:pt idx="40">
                  <c:v>-1.0886539479530293E-2</c:v>
                </c:pt>
                <c:pt idx="41">
                  <c:v>-1.0852078419428292E-2</c:v>
                </c:pt>
                <c:pt idx="42">
                  <c:v>-1.0845812772137017E-2</c:v>
                </c:pt>
                <c:pt idx="43">
                  <c:v>-3.5056069704105103E-3</c:v>
                </c:pt>
                <c:pt idx="44">
                  <c:v>-2.0143829150874974E-3</c:v>
                </c:pt>
                <c:pt idx="45">
                  <c:v>3.2049012785430424E-3</c:v>
                </c:pt>
                <c:pt idx="46">
                  <c:v>3.2049012785430424E-3</c:v>
                </c:pt>
                <c:pt idx="47">
                  <c:v>3.2049012785430424E-3</c:v>
                </c:pt>
                <c:pt idx="48">
                  <c:v>3.2049012785430424E-3</c:v>
                </c:pt>
                <c:pt idx="49">
                  <c:v>4.0632949574474671E-3</c:v>
                </c:pt>
                <c:pt idx="50">
                  <c:v>9.9467377639529606E-3</c:v>
                </c:pt>
                <c:pt idx="51">
                  <c:v>1.1497485468543067E-2</c:v>
                </c:pt>
                <c:pt idx="52">
                  <c:v>1.1500618292188708E-2</c:v>
                </c:pt>
                <c:pt idx="53">
                  <c:v>1.3843970379124867E-2</c:v>
                </c:pt>
                <c:pt idx="54">
                  <c:v>1.5385319612778066E-2</c:v>
                </c:pt>
                <c:pt idx="55">
                  <c:v>1.6005618694614109E-2</c:v>
                </c:pt>
                <c:pt idx="56">
                  <c:v>1.7443584747961302E-2</c:v>
                </c:pt>
                <c:pt idx="57">
                  <c:v>1.8048219711569162E-2</c:v>
                </c:pt>
                <c:pt idx="58">
                  <c:v>1.9620897181678726E-2</c:v>
                </c:pt>
                <c:pt idx="59">
                  <c:v>2.0319516854655682E-2</c:v>
                </c:pt>
                <c:pt idx="60">
                  <c:v>2.0466759566000602E-2</c:v>
                </c:pt>
                <c:pt idx="61">
                  <c:v>2.178254549716796E-2</c:v>
                </c:pt>
                <c:pt idx="62">
                  <c:v>2.4113366289521578E-2</c:v>
                </c:pt>
                <c:pt idx="63">
                  <c:v>2.484644702260054E-2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4D-4BB1-A0B3-C843693E76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8">
                  <c:v>-3.7734499997895909E-2</c:v>
                </c:pt>
                <c:pt idx="31">
                  <c:v>5.8632000000216067E-2</c:v>
                </c:pt>
                <c:pt idx="32">
                  <c:v>6.9448700007342268E-2</c:v>
                </c:pt>
                <c:pt idx="34">
                  <c:v>5.3038400001241826E-2</c:v>
                </c:pt>
                <c:pt idx="36">
                  <c:v>5.956500000320375E-2</c:v>
                </c:pt>
                <c:pt idx="37">
                  <c:v>-7.3753999997279607E-2</c:v>
                </c:pt>
                <c:pt idx="42">
                  <c:v>-3.2423750002635643E-2</c:v>
                </c:pt>
                <c:pt idx="51">
                  <c:v>4.9724450000212528E-2</c:v>
                </c:pt>
                <c:pt idx="56">
                  <c:v>2.8966749996470753E-2</c:v>
                </c:pt>
                <c:pt idx="59">
                  <c:v>4.4786049998947419E-2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4D-4BB1-A0B3-C843693E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03296"/>
        <c:axId val="1"/>
      </c:scatterChart>
      <c:valAx>
        <c:axId val="79230329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226951185005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30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Cas - O-C Diagr.</a:t>
            </a:r>
          </a:p>
        </c:rich>
      </c:tx>
      <c:layout>
        <c:manualLayout>
          <c:xMode val="edge"/>
          <c:yMode val="edge"/>
          <c:x val="0.3599257884972170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678942920199375"/>
          <c:w val="0.7884972170686456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-1.0382999997091247E-2</c:v>
                </c:pt>
                <c:pt idx="1">
                  <c:v>2.9931000026408583E-3</c:v>
                </c:pt>
                <c:pt idx="2">
                  <c:v>-1.8419999832985923E-4</c:v>
                </c:pt>
                <c:pt idx="3">
                  <c:v>8.3729999823844992E-4</c:v>
                </c:pt>
                <c:pt idx="4">
                  <c:v>4.8232000008283649E-3</c:v>
                </c:pt>
                <c:pt idx="5">
                  <c:v>2.4213400000007823E-2</c:v>
                </c:pt>
                <c:pt idx="6">
                  <c:v>1.1993000007350929E-3</c:v>
                </c:pt>
                <c:pt idx="7">
                  <c:v>1.6539800002647098E-2</c:v>
                </c:pt>
                <c:pt idx="8">
                  <c:v>-6.5588999968895223E-3</c:v>
                </c:pt>
                <c:pt idx="9">
                  <c:v>-1.4913499995600432E-2</c:v>
                </c:pt>
                <c:pt idx="10">
                  <c:v>2.2426999999879627E-2</c:v>
                </c:pt>
                <c:pt idx="11">
                  <c:v>-6.3170999965223018E-3</c:v>
                </c:pt>
                <c:pt idx="12">
                  <c:v>-4.5003999985055998E-3</c:v>
                </c:pt>
                <c:pt idx="13">
                  <c:v>-3.500399998301873E-3</c:v>
                </c:pt>
                <c:pt idx="14">
                  <c:v>-1.5003999978944194E-3</c:v>
                </c:pt>
                <c:pt idx="15">
                  <c:v>8.1449999997857958E-3</c:v>
                </c:pt>
                <c:pt idx="16">
                  <c:v>-1.09751999953005E-2</c:v>
                </c:pt>
                <c:pt idx="17">
                  <c:v>-1.2613200000487268E-2</c:v>
                </c:pt>
                <c:pt idx="18">
                  <c:v>-2.0286799997847993E-2</c:v>
                </c:pt>
                <c:pt idx="19">
                  <c:v>-2.5916999984474387E-3</c:v>
                </c:pt>
                <c:pt idx="20">
                  <c:v>-2.0665000010922085E-3</c:v>
                </c:pt>
                <c:pt idx="21">
                  <c:v>1.9274000002042158E-2</c:v>
                </c:pt>
                <c:pt idx="22">
                  <c:v>-1.2810599997465033E-2</c:v>
                </c:pt>
                <c:pt idx="24">
                  <c:v>-2.6022999991255347E-3</c:v>
                </c:pt>
                <c:pt idx="25">
                  <c:v>-2.6022999991255347E-3</c:v>
                </c:pt>
                <c:pt idx="26">
                  <c:v>-3.6942999977327418E-3</c:v>
                </c:pt>
                <c:pt idx="27">
                  <c:v>-7.5096000000485219E-3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49-4BE8-9F59-801616B715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3">
                  <c:v>5.6515000032959506E-3</c:v>
                </c:pt>
                <c:pt idx="29">
                  <c:v>1.4512900001136586E-2</c:v>
                </c:pt>
                <c:pt idx="33">
                  <c:v>4.3358999973861501E-3</c:v>
                </c:pt>
                <c:pt idx="35">
                  <c:v>1.4939699998649303E-2</c:v>
                </c:pt>
                <c:pt idx="38">
                  <c:v>-1.0885499999858439E-2</c:v>
                </c:pt>
                <c:pt idx="39">
                  <c:v>-3.8855000020703301E-3</c:v>
                </c:pt>
                <c:pt idx="40">
                  <c:v>-8.7713000029907562E-3</c:v>
                </c:pt>
                <c:pt idx="41">
                  <c:v>5.7535500018275343E-3</c:v>
                </c:pt>
                <c:pt idx="43">
                  <c:v>2.0369300000311341E-2</c:v>
                </c:pt>
                <c:pt idx="44">
                  <c:v>5.1719000039156526E-3</c:v>
                </c:pt>
                <c:pt idx="45">
                  <c:v>3.4809999997378327E-3</c:v>
                </c:pt>
                <c:pt idx="47">
                  <c:v>4.4809999963035807E-3</c:v>
                </c:pt>
                <c:pt idx="60">
                  <c:v>1.5019500002381392E-2</c:v>
                </c:pt>
                <c:pt idx="61">
                  <c:v>2.1586499999102671E-2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9-4BE8-9F59-801616B715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6">
                  <c:v>4.080999999132473E-3</c:v>
                </c:pt>
                <c:pt idx="48">
                  <c:v>4.5810000010533258E-3</c:v>
                </c:pt>
                <c:pt idx="53">
                  <c:v>1.5825599999516271E-2</c:v>
                </c:pt>
                <c:pt idx="58">
                  <c:v>1.945500000147149E-2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9-4BE8-9F59-801616B715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8.8908999969135039E-3</c:v>
                </c:pt>
                <c:pt idx="50">
                  <c:v>9.7461999976076186E-3</c:v>
                </c:pt>
                <c:pt idx="52">
                  <c:v>1.0835800007043872E-2</c:v>
                </c:pt>
                <c:pt idx="54">
                  <c:v>1.7309800008661114E-2</c:v>
                </c:pt>
                <c:pt idx="55">
                  <c:v>1.6157099998963531E-2</c:v>
                </c:pt>
                <c:pt idx="56">
                  <c:v>2.8966749996470753E-2</c:v>
                </c:pt>
                <c:pt idx="57">
                  <c:v>1.720729999942705E-2</c:v>
                </c:pt>
                <c:pt idx="62">
                  <c:v>2.6230899995425716E-2</c:v>
                </c:pt>
                <c:pt idx="63">
                  <c:v>2.6186800001596566E-2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49-4BE8-9F59-801616B715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49-4BE8-9F59-801616B715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49-4BE8-9F59-801616B715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49-4BE8-9F59-801616B715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-4.8925284184849649E-2</c:v>
                </c:pt>
                <c:pt idx="1">
                  <c:v>-4.8655861351324901E-2</c:v>
                </c:pt>
                <c:pt idx="2">
                  <c:v>-4.8649595704033627E-2</c:v>
                </c:pt>
                <c:pt idx="3">
                  <c:v>-4.8367641575926337E-2</c:v>
                </c:pt>
                <c:pt idx="4">
                  <c:v>-4.8261125571974692E-2</c:v>
                </c:pt>
                <c:pt idx="5">
                  <c:v>-4.809821874240159E-2</c:v>
                </c:pt>
                <c:pt idx="6">
                  <c:v>-4.7991702738449951E-2</c:v>
                </c:pt>
                <c:pt idx="7">
                  <c:v>-4.7897718029080855E-2</c:v>
                </c:pt>
                <c:pt idx="8">
                  <c:v>-4.7152106001419343E-2</c:v>
                </c:pt>
                <c:pt idx="9">
                  <c:v>-4.7139574706836801E-2</c:v>
                </c:pt>
                <c:pt idx="10">
                  <c:v>-4.7045589997467704E-2</c:v>
                </c:pt>
                <c:pt idx="11">
                  <c:v>-4.6312509264388735E-2</c:v>
                </c:pt>
                <c:pt idx="12">
                  <c:v>-4.4927801213017371E-2</c:v>
                </c:pt>
                <c:pt idx="13">
                  <c:v>-4.4927801213017371E-2</c:v>
                </c:pt>
                <c:pt idx="14">
                  <c:v>-4.4927801213017371E-2</c:v>
                </c:pt>
                <c:pt idx="15">
                  <c:v>-4.4915269918434822E-2</c:v>
                </c:pt>
                <c:pt idx="16">
                  <c:v>-4.4451612018880607E-2</c:v>
                </c:pt>
                <c:pt idx="17">
                  <c:v>-4.4075673181404221E-2</c:v>
                </c:pt>
                <c:pt idx="18">
                  <c:v>-4.3875172468083479E-2</c:v>
                </c:pt>
                <c:pt idx="19">
                  <c:v>-4.3793719053296931E-2</c:v>
                </c:pt>
                <c:pt idx="20">
                  <c:v>-4.3317529859160167E-2</c:v>
                </c:pt>
                <c:pt idx="21">
                  <c:v>-4.3223545149791071E-2</c:v>
                </c:pt>
                <c:pt idx="22">
                  <c:v>-4.2584449126081211E-2</c:v>
                </c:pt>
                <c:pt idx="23">
                  <c:v>-4.1187209780127298E-2</c:v>
                </c:pt>
                <c:pt idx="24">
                  <c:v>-3.9269921708997707E-2</c:v>
                </c:pt>
                <c:pt idx="25">
                  <c:v>-3.9269921708997707E-2</c:v>
                </c:pt>
                <c:pt idx="26">
                  <c:v>-3.9019295817346783E-2</c:v>
                </c:pt>
                <c:pt idx="27">
                  <c:v>-3.8637091332579115E-2</c:v>
                </c:pt>
                <c:pt idx="28">
                  <c:v>-3.6049379001283306E-2</c:v>
                </c:pt>
                <c:pt idx="29">
                  <c:v>-2.8142132119696576E-2</c:v>
                </c:pt>
                <c:pt idx="30">
                  <c:v>-2.2045657305287791E-2</c:v>
                </c:pt>
                <c:pt idx="31">
                  <c:v>-2.1043153738684085E-2</c:v>
                </c:pt>
                <c:pt idx="32">
                  <c:v>-1.9658445687312717E-2</c:v>
                </c:pt>
                <c:pt idx="33">
                  <c:v>-1.8806317655699567E-2</c:v>
                </c:pt>
                <c:pt idx="34">
                  <c:v>-1.8336394108854081E-2</c:v>
                </c:pt>
                <c:pt idx="35">
                  <c:v>-1.7590782081192573E-2</c:v>
                </c:pt>
                <c:pt idx="36">
                  <c:v>-1.6093292378578289E-2</c:v>
                </c:pt>
                <c:pt idx="37">
                  <c:v>-1.5905322959840096E-2</c:v>
                </c:pt>
                <c:pt idx="38">
                  <c:v>-1.1801323984056174E-2</c:v>
                </c:pt>
                <c:pt idx="39">
                  <c:v>-1.1801323984056174E-2</c:v>
                </c:pt>
                <c:pt idx="40">
                  <c:v>-1.0886539479530293E-2</c:v>
                </c:pt>
                <c:pt idx="41">
                  <c:v>-1.0852078419428292E-2</c:v>
                </c:pt>
                <c:pt idx="42">
                  <c:v>-1.0845812772137017E-2</c:v>
                </c:pt>
                <c:pt idx="43">
                  <c:v>-3.5056069704105103E-3</c:v>
                </c:pt>
                <c:pt idx="44">
                  <c:v>-2.0143829150874974E-3</c:v>
                </c:pt>
                <c:pt idx="45">
                  <c:v>3.2049012785430424E-3</c:v>
                </c:pt>
                <c:pt idx="46">
                  <c:v>3.2049012785430424E-3</c:v>
                </c:pt>
                <c:pt idx="47">
                  <c:v>3.2049012785430424E-3</c:v>
                </c:pt>
                <c:pt idx="48">
                  <c:v>3.2049012785430424E-3</c:v>
                </c:pt>
                <c:pt idx="49">
                  <c:v>4.0632949574474671E-3</c:v>
                </c:pt>
                <c:pt idx="50">
                  <c:v>9.9467377639529606E-3</c:v>
                </c:pt>
                <c:pt idx="51">
                  <c:v>1.1497485468543067E-2</c:v>
                </c:pt>
                <c:pt idx="52">
                  <c:v>1.1500618292188708E-2</c:v>
                </c:pt>
                <c:pt idx="53">
                  <c:v>1.3843970379124867E-2</c:v>
                </c:pt>
                <c:pt idx="54">
                  <c:v>1.5385319612778066E-2</c:v>
                </c:pt>
                <c:pt idx="55">
                  <c:v>1.6005618694614109E-2</c:v>
                </c:pt>
                <c:pt idx="56">
                  <c:v>1.7443584747961302E-2</c:v>
                </c:pt>
                <c:pt idx="57">
                  <c:v>1.8048219711569162E-2</c:v>
                </c:pt>
                <c:pt idx="58">
                  <c:v>1.9620897181678726E-2</c:v>
                </c:pt>
                <c:pt idx="59">
                  <c:v>2.0319516854655682E-2</c:v>
                </c:pt>
                <c:pt idx="60">
                  <c:v>2.0466759566000602E-2</c:v>
                </c:pt>
                <c:pt idx="61">
                  <c:v>2.178254549716796E-2</c:v>
                </c:pt>
                <c:pt idx="62">
                  <c:v>2.4113366289521578E-2</c:v>
                </c:pt>
                <c:pt idx="63">
                  <c:v>2.484644702260054E-2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49-4BE8-9F59-801616B715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8">
                  <c:v>-3.7734499997895909E-2</c:v>
                </c:pt>
                <c:pt idx="31">
                  <c:v>5.8632000000216067E-2</c:v>
                </c:pt>
                <c:pt idx="32">
                  <c:v>6.9448700007342268E-2</c:v>
                </c:pt>
                <c:pt idx="34">
                  <c:v>5.3038400001241826E-2</c:v>
                </c:pt>
                <c:pt idx="36">
                  <c:v>5.956500000320375E-2</c:v>
                </c:pt>
                <c:pt idx="37">
                  <c:v>-7.3753999997279607E-2</c:v>
                </c:pt>
                <c:pt idx="42">
                  <c:v>-3.2423750002635643E-2</c:v>
                </c:pt>
                <c:pt idx="51">
                  <c:v>4.9724450000212528E-2</c:v>
                </c:pt>
                <c:pt idx="56">
                  <c:v>2.8966749996470753E-2</c:v>
                </c:pt>
                <c:pt idx="59">
                  <c:v>4.4786049998947419E-2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49-4BE8-9F59-801616B71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01656"/>
        <c:axId val="1"/>
      </c:scatterChart>
      <c:valAx>
        <c:axId val="79230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63821892393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30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552875695733"/>
          <c:y val="0.9204921861831491"/>
          <c:w val="0.892393320964749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FE2B7C8-3B32-F483-58B2-53CB5EFD4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361950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672084C-15FE-F37D-6577-D2B5A53C7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4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konkoly.hu/cgi-bin/IBVS?5494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740" TargetMode="External"/><Relationship Id="rId1" Type="http://schemas.openxmlformats.org/officeDocument/2006/relationships/hyperlink" Target="http://www.konkoly.hu/cgi-bin/IBVS?740" TargetMode="External"/><Relationship Id="rId6" Type="http://schemas.openxmlformats.org/officeDocument/2006/relationships/hyperlink" Target="http://www.konkoly.hu/cgi-bin/IBVS?5594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4108" TargetMode="External"/><Relationship Id="rId10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2"/>
  <sheetViews>
    <sheetView tabSelected="1" workbookViewId="0">
      <pane ySplit="20" topLeftCell="A69" activePane="bottomLeft" state="frozen"/>
      <selection pane="bottomLef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28</v>
      </c>
      <c r="B2" s="14" t="s">
        <v>49</v>
      </c>
    </row>
    <row r="3" spans="1:6" ht="13.5" thickBot="1" x14ac:dyDescent="0.25">
      <c r="C3" s="13"/>
    </row>
    <row r="4" spans="1:6" ht="14.25" thickTop="1" thickBot="1" x14ac:dyDescent="0.25">
      <c r="A4" s="7" t="s">
        <v>4</v>
      </c>
      <c r="C4" s="3">
        <v>36527.618999999999</v>
      </c>
      <c r="D4" s="4">
        <v>3.0671773</v>
      </c>
    </row>
    <row r="5" spans="1:6" ht="13.5" thickTop="1" x14ac:dyDescent="0.2">
      <c r="A5" s="21" t="s">
        <v>55</v>
      </c>
      <c r="B5" s="22"/>
      <c r="C5" s="23">
        <v>-9.5</v>
      </c>
      <c r="D5" s="22" t="s">
        <v>56</v>
      </c>
    </row>
    <row r="6" spans="1:6" x14ac:dyDescent="0.2">
      <c r="A6" s="7" t="s">
        <v>5</v>
      </c>
    </row>
    <row r="7" spans="1:6" x14ac:dyDescent="0.2">
      <c r="A7" t="s">
        <v>6</v>
      </c>
      <c r="C7">
        <f>+C4</f>
        <v>36527.618999999999</v>
      </c>
    </row>
    <row r="8" spans="1:6" x14ac:dyDescent="0.2">
      <c r="A8" t="s">
        <v>7</v>
      </c>
      <c r="C8">
        <f>+D4</f>
        <v>3.0671773</v>
      </c>
    </row>
    <row r="9" spans="1:6" x14ac:dyDescent="0.2">
      <c r="A9" s="35" t="s">
        <v>61</v>
      </c>
      <c r="B9" s="36">
        <v>71</v>
      </c>
      <c r="C9" s="34" t="str">
        <f>"F"&amp;B9</f>
        <v>F71</v>
      </c>
      <c r="D9" s="12" t="str">
        <f>"G"&amp;B9</f>
        <v>G71</v>
      </c>
    </row>
    <row r="10" spans="1:6" ht="13.5" thickBot="1" x14ac:dyDescent="0.25">
      <c r="A10" s="22"/>
      <c r="B10" s="22"/>
      <c r="C10" s="6" t="s">
        <v>24</v>
      </c>
      <c r="D10" s="6" t="s">
        <v>25</v>
      </c>
      <c r="E10" s="22"/>
    </row>
    <row r="11" spans="1:6" x14ac:dyDescent="0.2">
      <c r="A11" s="22" t="s">
        <v>20</v>
      </c>
      <c r="B11" s="22"/>
      <c r="C11" s="33">
        <f ca="1">INTERCEPT(INDIRECT($D$9):G991,INDIRECT($C$9):F991)</f>
        <v>-2.2045657305287791E-2</v>
      </c>
      <c r="D11" s="5"/>
      <c r="E11" s="22"/>
    </row>
    <row r="12" spans="1:6" x14ac:dyDescent="0.2">
      <c r="A12" s="22" t="s">
        <v>21</v>
      </c>
      <c r="B12" s="22"/>
      <c r="C12" s="33">
        <f ca="1">SLOPE(INDIRECT($D$9):G991,INDIRECT($C$9):F991)</f>
        <v>6.26564729127316E-6</v>
      </c>
      <c r="D12" s="5"/>
      <c r="E12" s="22"/>
    </row>
    <row r="13" spans="1:6" x14ac:dyDescent="0.2">
      <c r="A13" s="22" t="s">
        <v>23</v>
      </c>
      <c r="B13" s="22"/>
      <c r="C13" s="5" t="s">
        <v>18</v>
      </c>
    </row>
    <row r="14" spans="1:6" x14ac:dyDescent="0.2">
      <c r="A14" s="22"/>
      <c r="B14" s="22"/>
      <c r="C14" s="22"/>
    </row>
    <row r="15" spans="1:6" x14ac:dyDescent="0.2">
      <c r="A15" s="24" t="s">
        <v>22</v>
      </c>
      <c r="B15" s="22"/>
      <c r="C15" s="25">
        <f ca="1">(C7+C11)+(C8+C12)*INT(MAX(F21:F3532))</f>
        <v>59482.398759647018</v>
      </c>
      <c r="E15" s="26" t="s">
        <v>62</v>
      </c>
      <c r="F15" s="23">
        <v>1</v>
      </c>
    </row>
    <row r="16" spans="1:6" x14ac:dyDescent="0.2">
      <c r="A16" s="28" t="s">
        <v>8</v>
      </c>
      <c r="B16" s="22"/>
      <c r="C16" s="29">
        <f ca="1">+C8+C12</f>
        <v>3.0671835656472912</v>
      </c>
      <c r="E16" s="26" t="s">
        <v>57</v>
      </c>
      <c r="F16" s="27">
        <f ca="1">NOW()+15018.5+$C$5/24</f>
        <v>59970.817911805556</v>
      </c>
    </row>
    <row r="17" spans="1:21" ht="13.5" thickBot="1" x14ac:dyDescent="0.25">
      <c r="A17" s="26" t="s">
        <v>59</v>
      </c>
      <c r="B17" s="22"/>
      <c r="C17" s="22">
        <f>COUNT(C21:C2190)</f>
        <v>64</v>
      </c>
      <c r="E17" s="26" t="s">
        <v>63</v>
      </c>
      <c r="F17" s="27">
        <f ca="1">ROUND(2*(F16-$C$7)/$C$8,0)/2+F15</f>
        <v>7644</v>
      </c>
    </row>
    <row r="18" spans="1:21" ht="14.25" thickTop="1" thickBot="1" x14ac:dyDescent="0.25">
      <c r="A18" s="28" t="s">
        <v>9</v>
      </c>
      <c r="B18" s="22"/>
      <c r="C18" s="31">
        <f ca="1">+C15</f>
        <v>59482.398759647018</v>
      </c>
      <c r="D18" s="32">
        <f ca="1">+C16</f>
        <v>3.0671835656472912</v>
      </c>
      <c r="E18" s="26" t="s">
        <v>58</v>
      </c>
      <c r="F18" s="12">
        <f ca="1">ROUND(2*(F16-$C$15)/$C$16,0)/2+F15</f>
        <v>160</v>
      </c>
    </row>
    <row r="19" spans="1:21" ht="13.5" thickTop="1" x14ac:dyDescent="0.2">
      <c r="E19" s="26" t="s">
        <v>60</v>
      </c>
      <c r="F19" s="30">
        <f ca="1">+$C$15+$C$16*F18-15018.5-$C$5/24</f>
        <v>44955.04396348392</v>
      </c>
    </row>
    <row r="20" spans="1:2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72</v>
      </c>
      <c r="I20" s="9" t="s">
        <v>74</v>
      </c>
      <c r="J20" s="9" t="s">
        <v>69</v>
      </c>
      <c r="K20" s="9" t="s">
        <v>67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19</v>
      </c>
      <c r="U20" s="52" t="s">
        <v>299</v>
      </c>
    </row>
    <row r="21" spans="1:21" x14ac:dyDescent="0.2">
      <c r="A21" s="50" t="s">
        <v>82</v>
      </c>
      <c r="B21" s="51" t="s">
        <v>48</v>
      </c>
      <c r="C21" s="50">
        <v>23369.418000000001</v>
      </c>
      <c r="D21" s="50" t="s">
        <v>74</v>
      </c>
      <c r="E21">
        <f t="shared" ref="E21:E52" si="0">+(C21-C$7)/C$8</f>
        <v>-4290.0033851971966</v>
      </c>
      <c r="F21">
        <f t="shared" ref="F21:F52" si="1">ROUND(2*E21,0)/2</f>
        <v>-4290</v>
      </c>
      <c r="G21">
        <f t="shared" ref="G21:G48" si="2">+C21-(C$7+F21*C$8)</f>
        <v>-1.0382999997091247E-2</v>
      </c>
      <c r="H21">
        <f t="shared" ref="H21:H43" si="3">G21</f>
        <v>-1.0382999997091247E-2</v>
      </c>
      <c r="O21">
        <f t="shared" ref="O21:O52" ca="1" si="4">+C$11+C$12*F21</f>
        <v>-4.8925284184849649E-2</v>
      </c>
      <c r="Q21" s="2">
        <f t="shared" ref="Q21:Q52" si="5">+C21-15018.5</f>
        <v>8350.9180000000015</v>
      </c>
    </row>
    <row r="22" spans="1:21" x14ac:dyDescent="0.2">
      <c r="A22" s="50" t="s">
        <v>82</v>
      </c>
      <c r="B22" s="51" t="s">
        <v>48</v>
      </c>
      <c r="C22" s="50">
        <v>23501.32</v>
      </c>
      <c r="D22" s="50" t="s">
        <v>74</v>
      </c>
      <c r="E22">
        <f t="shared" si="0"/>
        <v>-4246.9990241516198</v>
      </c>
      <c r="F22">
        <f t="shared" si="1"/>
        <v>-4247</v>
      </c>
      <c r="G22">
        <f t="shared" si="2"/>
        <v>2.9931000026408583E-3</v>
      </c>
      <c r="H22">
        <f t="shared" si="3"/>
        <v>2.9931000026408583E-3</v>
      </c>
      <c r="O22">
        <f t="shared" ca="1" si="4"/>
        <v>-4.8655861351324901E-2</v>
      </c>
      <c r="Q22" s="2">
        <f t="shared" si="5"/>
        <v>8482.82</v>
      </c>
    </row>
    <row r="23" spans="1:21" x14ac:dyDescent="0.2">
      <c r="A23" s="50" t="s">
        <v>82</v>
      </c>
      <c r="B23" s="51" t="s">
        <v>48</v>
      </c>
      <c r="C23" s="50">
        <v>23504.383999999998</v>
      </c>
      <c r="D23" s="50" t="s">
        <v>74</v>
      </c>
      <c r="E23">
        <f t="shared" si="0"/>
        <v>-4246.0000600552175</v>
      </c>
      <c r="F23">
        <f t="shared" si="1"/>
        <v>-4246</v>
      </c>
      <c r="G23">
        <f t="shared" si="2"/>
        <v>-1.8419999832985923E-4</v>
      </c>
      <c r="H23">
        <f t="shared" si="3"/>
        <v>-1.8419999832985923E-4</v>
      </c>
      <c r="O23">
        <f t="shared" ca="1" si="4"/>
        <v>-4.8649595704033627E-2</v>
      </c>
      <c r="Q23" s="2">
        <f t="shared" si="5"/>
        <v>8485.8839999999982</v>
      </c>
    </row>
    <row r="24" spans="1:21" x14ac:dyDescent="0.2">
      <c r="A24" s="50" t="s">
        <v>82</v>
      </c>
      <c r="B24" s="51" t="s">
        <v>48</v>
      </c>
      <c r="C24" s="50">
        <v>23642.407999999999</v>
      </c>
      <c r="D24" s="50" t="s">
        <v>74</v>
      </c>
      <c r="E24">
        <f t="shared" si="0"/>
        <v>-4200.9997270128461</v>
      </c>
      <c r="F24">
        <f t="shared" si="1"/>
        <v>-4201</v>
      </c>
      <c r="G24">
        <f t="shared" si="2"/>
        <v>8.3729999823844992E-4</v>
      </c>
      <c r="H24">
        <f t="shared" si="3"/>
        <v>8.3729999823844992E-4</v>
      </c>
      <c r="O24">
        <f t="shared" ca="1" si="4"/>
        <v>-4.8367641575926337E-2</v>
      </c>
      <c r="Q24" s="2">
        <f t="shared" si="5"/>
        <v>8623.9079999999994</v>
      </c>
    </row>
    <row r="25" spans="1:21" x14ac:dyDescent="0.2">
      <c r="A25" s="50" t="s">
        <v>96</v>
      </c>
      <c r="B25" s="51" t="s">
        <v>48</v>
      </c>
      <c r="C25" s="50">
        <v>23694.554</v>
      </c>
      <c r="D25" s="50" t="s">
        <v>74</v>
      </c>
      <c r="E25">
        <f t="shared" si="0"/>
        <v>-4183.9984274792323</v>
      </c>
      <c r="F25">
        <f t="shared" si="1"/>
        <v>-4184</v>
      </c>
      <c r="G25">
        <f t="shared" si="2"/>
        <v>4.8232000008283649E-3</v>
      </c>
      <c r="H25">
        <f t="shared" si="3"/>
        <v>4.8232000008283649E-3</v>
      </c>
      <c r="O25">
        <f t="shared" ca="1" si="4"/>
        <v>-4.8261125571974692E-2</v>
      </c>
      <c r="Q25" s="2">
        <f t="shared" si="5"/>
        <v>8676.0540000000001</v>
      </c>
    </row>
    <row r="26" spans="1:21" x14ac:dyDescent="0.2">
      <c r="A26" s="50" t="s">
        <v>82</v>
      </c>
      <c r="B26" s="51" t="s">
        <v>48</v>
      </c>
      <c r="C26" s="50">
        <v>23774.32</v>
      </c>
      <c r="D26" s="50" t="s">
        <v>74</v>
      </c>
      <c r="E26">
        <f t="shared" si="0"/>
        <v>-4157.9921056405838</v>
      </c>
      <c r="F26">
        <f t="shared" si="1"/>
        <v>-4158</v>
      </c>
      <c r="G26">
        <f t="shared" si="2"/>
        <v>2.4213400000007823E-2</v>
      </c>
      <c r="H26">
        <f t="shared" si="3"/>
        <v>2.4213400000007823E-2</v>
      </c>
      <c r="O26">
        <f t="shared" ca="1" si="4"/>
        <v>-4.809821874240159E-2</v>
      </c>
      <c r="Q26" s="2">
        <f t="shared" si="5"/>
        <v>8755.82</v>
      </c>
    </row>
    <row r="27" spans="1:21" x14ac:dyDescent="0.2">
      <c r="A27" s="50" t="s">
        <v>82</v>
      </c>
      <c r="B27" s="51" t="s">
        <v>48</v>
      </c>
      <c r="C27" s="50">
        <v>23826.438999999998</v>
      </c>
      <c r="D27" s="50" t="s">
        <v>74</v>
      </c>
      <c r="E27">
        <f t="shared" si="0"/>
        <v>-4140.999608989021</v>
      </c>
      <c r="F27">
        <f t="shared" si="1"/>
        <v>-4141</v>
      </c>
      <c r="G27">
        <f t="shared" si="2"/>
        <v>1.1993000007350929E-3</v>
      </c>
      <c r="H27">
        <f t="shared" si="3"/>
        <v>1.1993000007350929E-3</v>
      </c>
      <c r="O27">
        <f t="shared" ca="1" si="4"/>
        <v>-4.7991702738449951E-2</v>
      </c>
      <c r="Q27" s="2">
        <f t="shared" si="5"/>
        <v>8807.9389999999985</v>
      </c>
    </row>
    <row r="28" spans="1:21" x14ac:dyDescent="0.2">
      <c r="A28" s="50" t="s">
        <v>82</v>
      </c>
      <c r="B28" s="51" t="s">
        <v>48</v>
      </c>
      <c r="C28" s="50">
        <v>23872.462</v>
      </c>
      <c r="D28" s="50" t="s">
        <v>74</v>
      </c>
      <c r="E28">
        <f t="shared" si="0"/>
        <v>-4125.9946074848685</v>
      </c>
      <c r="F28">
        <f t="shared" si="1"/>
        <v>-4126</v>
      </c>
      <c r="G28">
        <f t="shared" si="2"/>
        <v>1.6539800002647098E-2</v>
      </c>
      <c r="H28">
        <f t="shared" si="3"/>
        <v>1.6539800002647098E-2</v>
      </c>
      <c r="O28">
        <f t="shared" ca="1" si="4"/>
        <v>-4.7897718029080855E-2</v>
      </c>
      <c r="Q28" s="2">
        <f t="shared" si="5"/>
        <v>8853.9619999999995</v>
      </c>
    </row>
    <row r="29" spans="1:21" x14ac:dyDescent="0.2">
      <c r="A29" s="50" t="s">
        <v>109</v>
      </c>
      <c r="B29" s="51" t="s">
        <v>48</v>
      </c>
      <c r="C29" s="50">
        <v>24237.433000000001</v>
      </c>
      <c r="D29" s="50" t="s">
        <v>74</v>
      </c>
      <c r="E29">
        <f t="shared" si="0"/>
        <v>-4007.0021384156689</v>
      </c>
      <c r="F29">
        <f t="shared" si="1"/>
        <v>-4007</v>
      </c>
      <c r="G29">
        <f t="shared" si="2"/>
        <v>-6.5588999968895223E-3</v>
      </c>
      <c r="H29">
        <f t="shared" si="3"/>
        <v>-6.5588999968895223E-3</v>
      </c>
      <c r="O29">
        <f t="shared" ca="1" si="4"/>
        <v>-4.7152106001419343E-2</v>
      </c>
      <c r="Q29" s="2">
        <f t="shared" si="5"/>
        <v>9218.9330000000009</v>
      </c>
    </row>
    <row r="30" spans="1:21" x14ac:dyDescent="0.2">
      <c r="A30" s="50" t="s">
        <v>109</v>
      </c>
      <c r="B30" s="51" t="s">
        <v>48</v>
      </c>
      <c r="C30" s="50">
        <v>24243.559000000001</v>
      </c>
      <c r="D30" s="50" t="s">
        <v>74</v>
      </c>
      <c r="E30">
        <f t="shared" si="0"/>
        <v>-4005.0048622882014</v>
      </c>
      <c r="F30">
        <f t="shared" si="1"/>
        <v>-4005</v>
      </c>
      <c r="G30">
        <f t="shared" si="2"/>
        <v>-1.4913499995600432E-2</v>
      </c>
      <c r="H30">
        <f t="shared" si="3"/>
        <v>-1.4913499995600432E-2</v>
      </c>
      <c r="O30">
        <f t="shared" ca="1" si="4"/>
        <v>-4.7139574706836801E-2</v>
      </c>
      <c r="Q30" s="2">
        <f t="shared" si="5"/>
        <v>9225.0590000000011</v>
      </c>
    </row>
    <row r="31" spans="1:21" x14ac:dyDescent="0.2">
      <c r="A31" s="50" t="s">
        <v>109</v>
      </c>
      <c r="B31" s="51" t="s">
        <v>48</v>
      </c>
      <c r="C31" s="50">
        <v>24289.603999999999</v>
      </c>
      <c r="D31" s="50" t="s">
        <v>74</v>
      </c>
      <c r="E31">
        <f t="shared" si="0"/>
        <v>-3989.9926880653425</v>
      </c>
      <c r="F31">
        <f t="shared" si="1"/>
        <v>-3990</v>
      </c>
      <c r="G31">
        <f t="shared" si="2"/>
        <v>2.2426999999879627E-2</v>
      </c>
      <c r="H31">
        <f t="shared" si="3"/>
        <v>2.2426999999879627E-2</v>
      </c>
      <c r="O31">
        <f t="shared" ca="1" si="4"/>
        <v>-4.7045589997467704E-2</v>
      </c>
      <c r="Q31" s="2">
        <f t="shared" si="5"/>
        <v>9271.1039999999994</v>
      </c>
    </row>
    <row r="32" spans="1:21" x14ac:dyDescent="0.2">
      <c r="A32" s="50" t="s">
        <v>109</v>
      </c>
      <c r="B32" s="51" t="s">
        <v>48</v>
      </c>
      <c r="C32" s="50">
        <v>24648.435000000001</v>
      </c>
      <c r="D32" s="50" t="s">
        <v>74</v>
      </c>
      <c r="E32">
        <f t="shared" si="0"/>
        <v>-3873.0020595809697</v>
      </c>
      <c r="F32">
        <f t="shared" si="1"/>
        <v>-3873</v>
      </c>
      <c r="G32">
        <f t="shared" si="2"/>
        <v>-6.3170999965223018E-3</v>
      </c>
      <c r="H32">
        <f t="shared" si="3"/>
        <v>-6.3170999965223018E-3</v>
      </c>
      <c r="O32">
        <f t="shared" ca="1" si="4"/>
        <v>-4.6312509264388735E-2</v>
      </c>
      <c r="Q32" s="2">
        <f t="shared" si="5"/>
        <v>9629.9350000000013</v>
      </c>
    </row>
    <row r="33" spans="1:17" x14ac:dyDescent="0.2">
      <c r="A33" s="50" t="s">
        <v>109</v>
      </c>
      <c r="B33" s="51" t="s">
        <v>48</v>
      </c>
      <c r="C33" s="50">
        <v>25326.282999999999</v>
      </c>
      <c r="D33" s="50" t="s">
        <v>74</v>
      </c>
      <c r="E33">
        <f t="shared" si="0"/>
        <v>-3652.0014672774214</v>
      </c>
      <c r="F33">
        <f t="shared" si="1"/>
        <v>-3652</v>
      </c>
      <c r="G33">
        <f t="shared" si="2"/>
        <v>-4.5003999985055998E-3</v>
      </c>
      <c r="H33">
        <f t="shared" si="3"/>
        <v>-4.5003999985055998E-3</v>
      </c>
      <c r="O33">
        <f t="shared" ca="1" si="4"/>
        <v>-4.4927801213017371E-2</v>
      </c>
      <c r="Q33" s="2">
        <f t="shared" si="5"/>
        <v>10307.782999999999</v>
      </c>
    </row>
    <row r="34" spans="1:17" x14ac:dyDescent="0.2">
      <c r="A34" s="50" t="s">
        <v>126</v>
      </c>
      <c r="B34" s="51" t="s">
        <v>48</v>
      </c>
      <c r="C34" s="50">
        <v>25326.284</v>
      </c>
      <c r="D34" s="50" t="s">
        <v>74</v>
      </c>
      <c r="E34">
        <f t="shared" si="0"/>
        <v>-3652.0011412447525</v>
      </c>
      <c r="F34">
        <f t="shared" si="1"/>
        <v>-3652</v>
      </c>
      <c r="G34">
        <f t="shared" si="2"/>
        <v>-3.500399998301873E-3</v>
      </c>
      <c r="H34">
        <f t="shared" si="3"/>
        <v>-3.500399998301873E-3</v>
      </c>
      <c r="O34">
        <f t="shared" ca="1" si="4"/>
        <v>-4.4927801213017371E-2</v>
      </c>
      <c r="Q34" s="2">
        <f t="shared" si="5"/>
        <v>10307.784</v>
      </c>
    </row>
    <row r="35" spans="1:17" x14ac:dyDescent="0.2">
      <c r="A35" s="50" t="s">
        <v>131</v>
      </c>
      <c r="B35" s="51" t="s">
        <v>48</v>
      </c>
      <c r="C35" s="50">
        <v>25326.286</v>
      </c>
      <c r="D35" s="50" t="s">
        <v>74</v>
      </c>
      <c r="E35">
        <f t="shared" si="0"/>
        <v>-3652.0004891794156</v>
      </c>
      <c r="F35">
        <f t="shared" si="1"/>
        <v>-3652</v>
      </c>
      <c r="G35">
        <f t="shared" si="2"/>
        <v>-1.5003999978944194E-3</v>
      </c>
      <c r="H35">
        <f t="shared" si="3"/>
        <v>-1.5003999978944194E-3</v>
      </c>
      <c r="O35">
        <f t="shared" ca="1" si="4"/>
        <v>-4.4927801213017371E-2</v>
      </c>
      <c r="Q35" s="2">
        <f t="shared" si="5"/>
        <v>10307.786</v>
      </c>
    </row>
    <row r="36" spans="1:17" x14ac:dyDescent="0.2">
      <c r="A36" s="50" t="s">
        <v>109</v>
      </c>
      <c r="B36" s="51" t="s">
        <v>48</v>
      </c>
      <c r="C36" s="50">
        <v>25332.43</v>
      </c>
      <c r="D36" s="50" t="s">
        <v>74</v>
      </c>
      <c r="E36">
        <f t="shared" si="0"/>
        <v>-3649.9973444639145</v>
      </c>
      <c r="F36">
        <f t="shared" si="1"/>
        <v>-3650</v>
      </c>
      <c r="G36">
        <f t="shared" si="2"/>
        <v>8.1449999997857958E-3</v>
      </c>
      <c r="H36">
        <f t="shared" si="3"/>
        <v>8.1449999997857958E-3</v>
      </c>
      <c r="O36">
        <f t="shared" ca="1" si="4"/>
        <v>-4.4915269918434822E-2</v>
      </c>
      <c r="Q36" s="2">
        <f t="shared" si="5"/>
        <v>10313.93</v>
      </c>
    </row>
    <row r="37" spans="1:17" x14ac:dyDescent="0.2">
      <c r="A37" s="50" t="s">
        <v>109</v>
      </c>
      <c r="B37" s="51" t="s">
        <v>48</v>
      </c>
      <c r="C37" s="50">
        <v>25559.382000000001</v>
      </c>
      <c r="D37" s="50" t="s">
        <v>74</v>
      </c>
      <c r="E37">
        <f t="shared" si="0"/>
        <v>-3576.0035782737427</v>
      </c>
      <c r="F37">
        <f t="shared" si="1"/>
        <v>-3576</v>
      </c>
      <c r="G37">
        <f t="shared" si="2"/>
        <v>-1.09751999953005E-2</v>
      </c>
      <c r="H37">
        <f t="shared" si="3"/>
        <v>-1.09751999953005E-2</v>
      </c>
      <c r="O37">
        <f t="shared" ca="1" si="4"/>
        <v>-4.4451612018880607E-2</v>
      </c>
      <c r="Q37" s="2">
        <f t="shared" si="5"/>
        <v>10540.882000000001</v>
      </c>
    </row>
    <row r="38" spans="1:17" x14ac:dyDescent="0.2">
      <c r="A38" s="50" t="s">
        <v>109</v>
      </c>
      <c r="B38" s="51" t="s">
        <v>48</v>
      </c>
      <c r="C38" s="50">
        <v>25743.411</v>
      </c>
      <c r="D38" s="50" t="s">
        <v>74</v>
      </c>
      <c r="E38">
        <f t="shared" si="0"/>
        <v>-3516.0041123152546</v>
      </c>
      <c r="F38">
        <f t="shared" si="1"/>
        <v>-3516</v>
      </c>
      <c r="G38">
        <f t="shared" si="2"/>
        <v>-1.2613200000487268E-2</v>
      </c>
      <c r="H38">
        <f t="shared" si="3"/>
        <v>-1.2613200000487268E-2</v>
      </c>
      <c r="O38">
        <f t="shared" ca="1" si="4"/>
        <v>-4.4075673181404221E-2</v>
      </c>
      <c r="Q38" s="2">
        <f t="shared" si="5"/>
        <v>10724.911</v>
      </c>
    </row>
    <row r="39" spans="1:17" x14ac:dyDescent="0.2">
      <c r="A39" s="50" t="s">
        <v>109</v>
      </c>
      <c r="B39" s="51" t="s">
        <v>48</v>
      </c>
      <c r="C39" s="50">
        <v>25841.553</v>
      </c>
      <c r="D39" s="50" t="s">
        <v>74</v>
      </c>
      <c r="E39">
        <f t="shared" si="0"/>
        <v>-3484.0066141595398</v>
      </c>
      <c r="F39">
        <f t="shared" si="1"/>
        <v>-3484</v>
      </c>
      <c r="G39">
        <f t="shared" si="2"/>
        <v>-2.0286799997847993E-2</v>
      </c>
      <c r="H39">
        <f t="shared" si="3"/>
        <v>-2.0286799997847993E-2</v>
      </c>
      <c r="O39">
        <f t="shared" ca="1" si="4"/>
        <v>-4.3875172468083479E-2</v>
      </c>
      <c r="Q39" s="2">
        <f t="shared" si="5"/>
        <v>10823.053</v>
      </c>
    </row>
    <row r="40" spans="1:17" x14ac:dyDescent="0.2">
      <c r="A40" s="50" t="s">
        <v>109</v>
      </c>
      <c r="B40" s="51" t="s">
        <v>48</v>
      </c>
      <c r="C40" s="50">
        <v>25881.444</v>
      </c>
      <c r="D40" s="50" t="s">
        <v>74</v>
      </c>
      <c r="E40">
        <f t="shared" si="0"/>
        <v>-3471.000844978867</v>
      </c>
      <c r="F40">
        <f t="shared" si="1"/>
        <v>-3471</v>
      </c>
      <c r="G40">
        <f t="shared" si="2"/>
        <v>-2.5916999984474387E-3</v>
      </c>
      <c r="H40">
        <f t="shared" si="3"/>
        <v>-2.5916999984474387E-3</v>
      </c>
      <c r="O40">
        <f t="shared" ca="1" si="4"/>
        <v>-4.3793719053296931E-2</v>
      </c>
      <c r="Q40" s="2">
        <f t="shared" si="5"/>
        <v>10862.944</v>
      </c>
    </row>
    <row r="41" spans="1:17" x14ac:dyDescent="0.2">
      <c r="A41" s="50" t="s">
        <v>109</v>
      </c>
      <c r="B41" s="51" t="s">
        <v>48</v>
      </c>
      <c r="C41" s="50">
        <v>26114.55</v>
      </c>
      <c r="D41" s="50" t="s">
        <v>74</v>
      </c>
      <c r="E41">
        <f t="shared" si="0"/>
        <v>-3395.0006737465092</v>
      </c>
      <c r="F41">
        <f t="shared" si="1"/>
        <v>-3395</v>
      </c>
      <c r="G41">
        <f t="shared" si="2"/>
        <v>-2.0665000010922085E-3</v>
      </c>
      <c r="H41">
        <f t="shared" si="3"/>
        <v>-2.0665000010922085E-3</v>
      </c>
      <c r="O41">
        <f t="shared" ca="1" si="4"/>
        <v>-4.3317529859160167E-2</v>
      </c>
      <c r="Q41" s="2">
        <f t="shared" si="5"/>
        <v>11096.05</v>
      </c>
    </row>
    <row r="42" spans="1:17" x14ac:dyDescent="0.2">
      <c r="A42" s="50" t="s">
        <v>109</v>
      </c>
      <c r="B42" s="51" t="s">
        <v>48</v>
      </c>
      <c r="C42" s="50">
        <v>26160.579000000002</v>
      </c>
      <c r="D42" s="50" t="s">
        <v>74</v>
      </c>
      <c r="E42">
        <f t="shared" si="0"/>
        <v>-3379.9937160463455</v>
      </c>
      <c r="F42">
        <f t="shared" si="1"/>
        <v>-3380</v>
      </c>
      <c r="G42">
        <f t="shared" si="2"/>
        <v>1.9274000002042158E-2</v>
      </c>
      <c r="H42">
        <f t="shared" si="3"/>
        <v>1.9274000002042158E-2</v>
      </c>
      <c r="O42">
        <f t="shared" ca="1" si="4"/>
        <v>-4.3223545149791071E-2</v>
      </c>
      <c r="Q42" s="2">
        <f t="shared" si="5"/>
        <v>11142.079000000002</v>
      </c>
    </row>
    <row r="43" spans="1:17" x14ac:dyDescent="0.2">
      <c r="A43" s="50" t="s">
        <v>109</v>
      </c>
      <c r="B43" s="51" t="s">
        <v>48</v>
      </c>
      <c r="C43" s="50">
        <v>26473.399000000001</v>
      </c>
      <c r="D43" s="50" t="s">
        <v>74</v>
      </c>
      <c r="E43">
        <f t="shared" si="0"/>
        <v>-3278.0041766741028</v>
      </c>
      <c r="F43">
        <f t="shared" si="1"/>
        <v>-3278</v>
      </c>
      <c r="G43">
        <f t="shared" si="2"/>
        <v>-1.2810599997465033E-2</v>
      </c>
      <c r="H43">
        <f t="shared" si="3"/>
        <v>-1.2810599997465033E-2</v>
      </c>
      <c r="O43">
        <f t="shared" ca="1" si="4"/>
        <v>-4.2584449126081211E-2</v>
      </c>
      <c r="Q43" s="2">
        <f t="shared" si="5"/>
        <v>11454.899000000001</v>
      </c>
    </row>
    <row r="44" spans="1:17" x14ac:dyDescent="0.2">
      <c r="A44" s="50" t="s">
        <v>158</v>
      </c>
      <c r="B44" s="51" t="s">
        <v>48</v>
      </c>
      <c r="C44" s="50">
        <v>27157.398000000001</v>
      </c>
      <c r="D44" s="50" t="s">
        <v>74</v>
      </c>
      <c r="E44">
        <f t="shared" si="0"/>
        <v>-3054.9981574263729</v>
      </c>
      <c r="F44">
        <f t="shared" si="1"/>
        <v>-3055</v>
      </c>
      <c r="G44">
        <f t="shared" si="2"/>
        <v>5.6515000032959506E-3</v>
      </c>
      <c r="I44">
        <f>G44</f>
        <v>5.6515000032959506E-3</v>
      </c>
      <c r="O44">
        <f t="shared" ca="1" si="4"/>
        <v>-4.1187209780127298E-2</v>
      </c>
      <c r="Q44" s="2">
        <f t="shared" si="5"/>
        <v>12138.898000000001</v>
      </c>
    </row>
    <row r="45" spans="1:17" x14ac:dyDescent="0.2">
      <c r="A45" s="50" t="s">
        <v>131</v>
      </c>
      <c r="B45" s="51" t="s">
        <v>48</v>
      </c>
      <c r="C45" s="50">
        <v>28095.946</v>
      </c>
      <c r="D45" s="50" t="s">
        <v>74</v>
      </c>
      <c r="E45">
        <f t="shared" si="0"/>
        <v>-2749.0008484348132</v>
      </c>
      <c r="F45">
        <f t="shared" si="1"/>
        <v>-2749</v>
      </c>
      <c r="G45">
        <f t="shared" si="2"/>
        <v>-2.6022999991255347E-3</v>
      </c>
      <c r="H45">
        <f>G45</f>
        <v>-2.6022999991255347E-3</v>
      </c>
      <c r="O45">
        <f t="shared" ca="1" si="4"/>
        <v>-3.9269921708997707E-2</v>
      </c>
      <c r="Q45" s="2">
        <f t="shared" si="5"/>
        <v>13077.446</v>
      </c>
    </row>
    <row r="46" spans="1:17" x14ac:dyDescent="0.2">
      <c r="A46" s="50" t="s">
        <v>162</v>
      </c>
      <c r="B46" s="51" t="s">
        <v>48</v>
      </c>
      <c r="C46" s="50">
        <v>28095.946</v>
      </c>
      <c r="D46" s="50" t="s">
        <v>74</v>
      </c>
      <c r="E46">
        <f t="shared" si="0"/>
        <v>-2749.0008484348132</v>
      </c>
      <c r="F46">
        <f t="shared" si="1"/>
        <v>-2749</v>
      </c>
      <c r="G46">
        <f t="shared" si="2"/>
        <v>-2.6022999991255347E-3</v>
      </c>
      <c r="H46">
        <f>G46</f>
        <v>-2.6022999991255347E-3</v>
      </c>
      <c r="O46">
        <f t="shared" ca="1" si="4"/>
        <v>-3.9269921708997707E-2</v>
      </c>
      <c r="Q46" s="2">
        <f t="shared" si="5"/>
        <v>13077.446</v>
      </c>
    </row>
    <row r="47" spans="1:17" x14ac:dyDescent="0.2">
      <c r="A47" s="50" t="s">
        <v>131</v>
      </c>
      <c r="B47" s="51" t="s">
        <v>48</v>
      </c>
      <c r="C47" s="50">
        <v>28218.632000000001</v>
      </c>
      <c r="D47" s="50" t="s">
        <v>74</v>
      </c>
      <c r="E47">
        <f t="shared" si="0"/>
        <v>-2709.0012044624864</v>
      </c>
      <c r="F47">
        <f t="shared" si="1"/>
        <v>-2709</v>
      </c>
      <c r="G47">
        <f t="shared" si="2"/>
        <v>-3.6942999977327418E-3</v>
      </c>
      <c r="H47">
        <f>G47</f>
        <v>-3.6942999977327418E-3</v>
      </c>
      <c r="O47">
        <f t="shared" ca="1" si="4"/>
        <v>-3.9019295817346783E-2</v>
      </c>
      <c r="Q47" s="2">
        <f t="shared" si="5"/>
        <v>13200.132000000001</v>
      </c>
    </row>
    <row r="48" spans="1:17" x14ac:dyDescent="0.2">
      <c r="A48" s="50" t="s">
        <v>131</v>
      </c>
      <c r="B48" s="51" t="s">
        <v>48</v>
      </c>
      <c r="C48" s="50">
        <v>28405.725999999999</v>
      </c>
      <c r="D48" s="50" t="s">
        <v>74</v>
      </c>
      <c r="E48">
        <f t="shared" si="0"/>
        <v>-2648.0024483749276</v>
      </c>
      <c r="F48">
        <f t="shared" si="1"/>
        <v>-2648</v>
      </c>
      <c r="G48">
        <f t="shared" si="2"/>
        <v>-7.5096000000485219E-3</v>
      </c>
      <c r="H48">
        <f>G48</f>
        <v>-7.5096000000485219E-3</v>
      </c>
      <c r="O48">
        <f t="shared" ca="1" si="4"/>
        <v>-3.8637091332579115E-2</v>
      </c>
      <c r="Q48" s="2">
        <f t="shared" si="5"/>
        <v>13387.225999999999</v>
      </c>
    </row>
    <row r="49" spans="1:35" x14ac:dyDescent="0.2">
      <c r="A49" s="50" t="s">
        <v>171</v>
      </c>
      <c r="B49" s="51" t="s">
        <v>48</v>
      </c>
      <c r="C49" s="50">
        <v>29672.44</v>
      </c>
      <c r="D49" s="50" t="s">
        <v>74</v>
      </c>
      <c r="E49">
        <f t="shared" si="0"/>
        <v>-2235.012302679731</v>
      </c>
      <c r="F49">
        <f t="shared" si="1"/>
        <v>-2235</v>
      </c>
      <c r="O49">
        <f t="shared" ca="1" si="4"/>
        <v>-3.6049379001283306E-2</v>
      </c>
      <c r="Q49" s="2">
        <f t="shared" si="5"/>
        <v>14653.939999999999</v>
      </c>
      <c r="U49">
        <f>+C49-(C$7+F49*C$8)</f>
        <v>-3.7734499997895909E-2</v>
      </c>
    </row>
    <row r="50" spans="1:35" x14ac:dyDescent="0.2">
      <c r="A50" s="50" t="s">
        <v>176</v>
      </c>
      <c r="B50" s="51" t="s">
        <v>48</v>
      </c>
      <c r="C50" s="50">
        <v>33543.269999999997</v>
      </c>
      <c r="D50" s="50" t="s">
        <v>74</v>
      </c>
      <c r="E50">
        <f t="shared" si="0"/>
        <v>-972.99526832048537</v>
      </c>
      <c r="F50">
        <f t="shared" si="1"/>
        <v>-973</v>
      </c>
      <c r="G50">
        <f>+C50-(C$7+F50*C$8)</f>
        <v>1.4512900001136586E-2</v>
      </c>
      <c r="I50">
        <f>G50</f>
        <v>1.4512900001136586E-2</v>
      </c>
      <c r="O50">
        <f t="shared" ca="1" si="4"/>
        <v>-2.8142132119696576E-2</v>
      </c>
      <c r="Q50" s="2">
        <f t="shared" si="5"/>
        <v>18524.769999999997</v>
      </c>
    </row>
    <row r="51" spans="1:35" x14ac:dyDescent="0.2">
      <c r="A51" t="s">
        <v>16</v>
      </c>
      <c r="C51" s="17">
        <v>36527.618999999999</v>
      </c>
      <c r="D51" s="10" t="s">
        <v>18</v>
      </c>
      <c r="E51">
        <f t="shared" si="0"/>
        <v>0</v>
      </c>
      <c r="F51">
        <f t="shared" si="1"/>
        <v>0</v>
      </c>
      <c r="G51">
        <f>+C51-(C$7+F51*C$8)</f>
        <v>0</v>
      </c>
      <c r="H51">
        <f>+G51</f>
        <v>0</v>
      </c>
      <c r="O51">
        <f t="shared" ca="1" si="4"/>
        <v>-2.2045657305287791E-2</v>
      </c>
      <c r="Q51" s="2">
        <f t="shared" si="5"/>
        <v>21509.118999999999</v>
      </c>
    </row>
    <row r="52" spans="1:35" x14ac:dyDescent="0.2">
      <c r="A52" s="50" t="s">
        <v>189</v>
      </c>
      <c r="B52" s="51" t="s">
        <v>48</v>
      </c>
      <c r="C52" s="50">
        <v>37018.425999999999</v>
      </c>
      <c r="D52" s="50" t="s">
        <v>74</v>
      </c>
      <c r="E52">
        <f t="shared" si="0"/>
        <v>160.01911594742199</v>
      </c>
      <c r="F52">
        <f t="shared" si="1"/>
        <v>160</v>
      </c>
      <c r="O52">
        <f t="shared" ca="1" si="4"/>
        <v>-2.1043153738684085E-2</v>
      </c>
      <c r="Q52" s="2">
        <f t="shared" si="5"/>
        <v>21999.925999999999</v>
      </c>
      <c r="U52">
        <f>+C52-(C$7+F52*C$8)</f>
        <v>5.8632000000216067E-2</v>
      </c>
    </row>
    <row r="53" spans="1:35" x14ac:dyDescent="0.2">
      <c r="A53" s="50" t="s">
        <v>194</v>
      </c>
      <c r="B53" s="51" t="s">
        <v>48</v>
      </c>
      <c r="C53" s="50">
        <v>37696.283000000003</v>
      </c>
      <c r="D53" s="50" t="s">
        <v>74</v>
      </c>
      <c r="E53">
        <f t="shared" ref="E53:E67" si="6">+(C53-C$7)/C$8</f>
        <v>381.02264254498897</v>
      </c>
      <c r="F53">
        <f t="shared" ref="F53:F67" si="7">ROUND(2*E53,0)/2</f>
        <v>381</v>
      </c>
      <c r="O53">
        <f t="shared" ref="O53:O67" ca="1" si="8">+C$11+C$12*F53</f>
        <v>-1.9658445687312717E-2</v>
      </c>
      <c r="Q53" s="2">
        <f t="shared" ref="Q53:Q67" si="9">+C53-15018.5</f>
        <v>22677.783000000003</v>
      </c>
      <c r="U53">
        <f>+C53-(C$7+F53*C$8)</f>
        <v>6.9448700007342268E-2</v>
      </c>
    </row>
    <row r="54" spans="1:35" x14ac:dyDescent="0.2">
      <c r="A54" s="50" t="s">
        <v>194</v>
      </c>
      <c r="B54" s="51" t="s">
        <v>48</v>
      </c>
      <c r="C54" s="50">
        <v>38113.353999999999</v>
      </c>
      <c r="D54" s="50" t="s">
        <v>74</v>
      </c>
      <c r="E54">
        <f t="shared" si="6"/>
        <v>517.00141364504771</v>
      </c>
      <c r="F54">
        <f t="shared" si="7"/>
        <v>517</v>
      </c>
      <c r="G54">
        <f>+C54-(C$7+F54*C$8)</f>
        <v>4.3358999973861501E-3</v>
      </c>
      <c r="I54">
        <f>G54</f>
        <v>4.3358999973861501E-3</v>
      </c>
      <c r="O54">
        <f t="shared" ca="1" si="8"/>
        <v>-1.8806317655699567E-2</v>
      </c>
      <c r="Q54" s="2">
        <f t="shared" si="9"/>
        <v>23094.853999999999</v>
      </c>
    </row>
    <row r="55" spans="1:35" x14ac:dyDescent="0.2">
      <c r="A55" s="50" t="s">
        <v>194</v>
      </c>
      <c r="B55" s="51" t="s">
        <v>48</v>
      </c>
      <c r="C55" s="50">
        <v>38343.440999999999</v>
      </c>
      <c r="D55" s="50" t="s">
        <v>74</v>
      </c>
      <c r="E55">
        <f t="shared" si="6"/>
        <v>592.01729225108704</v>
      </c>
      <c r="F55">
        <f t="shared" si="7"/>
        <v>592</v>
      </c>
      <c r="O55">
        <f t="shared" ca="1" si="8"/>
        <v>-1.8336394108854081E-2</v>
      </c>
      <c r="Q55" s="2">
        <f t="shared" si="9"/>
        <v>23324.940999999999</v>
      </c>
      <c r="U55">
        <f>+C55-(C$7+F55*C$8)</f>
        <v>5.3038400001241826E-2</v>
      </c>
    </row>
    <row r="56" spans="1:35" x14ac:dyDescent="0.2">
      <c r="A56" s="50" t="s">
        <v>194</v>
      </c>
      <c r="B56" s="51" t="s">
        <v>48</v>
      </c>
      <c r="C56" s="50">
        <v>38708.396999999997</v>
      </c>
      <c r="D56" s="50" t="s">
        <v>74</v>
      </c>
      <c r="E56">
        <f t="shared" si="6"/>
        <v>711.00487083025769</v>
      </c>
      <c r="F56">
        <f t="shared" si="7"/>
        <v>711</v>
      </c>
      <c r="G56">
        <f>+C56-(C$7+F56*C$8)</f>
        <v>1.4939699998649303E-2</v>
      </c>
      <c r="I56">
        <f>G56</f>
        <v>1.4939699998649303E-2</v>
      </c>
      <c r="O56">
        <f t="shared" ca="1" si="8"/>
        <v>-1.7590782081192573E-2</v>
      </c>
      <c r="Q56" s="2">
        <f t="shared" si="9"/>
        <v>23689.896999999997</v>
      </c>
    </row>
    <row r="57" spans="1:35" x14ac:dyDescent="0.2">
      <c r="A57" s="50" t="s">
        <v>194</v>
      </c>
      <c r="B57" s="51" t="s">
        <v>48</v>
      </c>
      <c r="C57" s="50">
        <v>39441.497000000003</v>
      </c>
      <c r="D57" s="50" t="s">
        <v>74</v>
      </c>
      <c r="E57">
        <f t="shared" si="6"/>
        <v>950.01942013590292</v>
      </c>
      <c r="F57">
        <f t="shared" si="7"/>
        <v>950</v>
      </c>
      <c r="O57">
        <f t="shared" ca="1" si="8"/>
        <v>-1.6093292378578289E-2</v>
      </c>
      <c r="Q57" s="2">
        <f t="shared" si="9"/>
        <v>24422.997000000003</v>
      </c>
      <c r="U57">
        <f>+C57-(C$7+F57*C$8)</f>
        <v>5.956500000320375E-2</v>
      </c>
    </row>
    <row r="58" spans="1:35" x14ac:dyDescent="0.2">
      <c r="A58" s="50" t="s">
        <v>194</v>
      </c>
      <c r="B58" s="51" t="s">
        <v>48</v>
      </c>
      <c r="C58" s="50">
        <v>39533.379000000001</v>
      </c>
      <c r="D58" s="50" t="s">
        <v>74</v>
      </c>
      <c r="E58">
        <f t="shared" si="6"/>
        <v>979.97595378656524</v>
      </c>
      <c r="F58">
        <f t="shared" si="7"/>
        <v>980</v>
      </c>
      <c r="O58">
        <f t="shared" ca="1" si="8"/>
        <v>-1.5905322959840096E-2</v>
      </c>
      <c r="Q58" s="2">
        <f t="shared" si="9"/>
        <v>24514.879000000001</v>
      </c>
      <c r="U58">
        <f>+C58-(C$7+F58*C$8)</f>
        <v>-7.3753999997279607E-2</v>
      </c>
    </row>
    <row r="59" spans="1:35" x14ac:dyDescent="0.2">
      <c r="A59" s="15" t="s">
        <v>50</v>
      </c>
      <c r="B59" s="16" t="s">
        <v>51</v>
      </c>
      <c r="C59" s="15">
        <v>41542.442999999999</v>
      </c>
      <c r="D59" s="15">
        <v>1.0999999999999999E-2</v>
      </c>
      <c r="E59">
        <f t="shared" si="6"/>
        <v>1634.9964509713868</v>
      </c>
      <c r="F59">
        <f t="shared" si="7"/>
        <v>1635</v>
      </c>
      <c r="G59">
        <f>+C59-(C$7+F59*C$8)</f>
        <v>-1.0885499999858439E-2</v>
      </c>
      <c r="I59">
        <f>G59</f>
        <v>-1.0885499999858439E-2</v>
      </c>
      <c r="O59">
        <f t="shared" ca="1" si="8"/>
        <v>-1.1801323984056174E-2</v>
      </c>
      <c r="Q59" s="2">
        <f t="shared" si="9"/>
        <v>26523.942999999999</v>
      </c>
    </row>
    <row r="60" spans="1:35" x14ac:dyDescent="0.2">
      <c r="A60" t="s">
        <v>50</v>
      </c>
      <c r="C60" s="17">
        <v>41542.449999999997</v>
      </c>
      <c r="D60" s="10"/>
      <c r="E60">
        <f t="shared" si="6"/>
        <v>1634.9987332000658</v>
      </c>
      <c r="F60">
        <f t="shared" si="7"/>
        <v>1635</v>
      </c>
      <c r="G60">
        <f>+C60-(C$7+F60*C$8)</f>
        <v>-3.8855000020703301E-3</v>
      </c>
      <c r="I60">
        <f>G60</f>
        <v>-3.8855000020703301E-3</v>
      </c>
      <c r="O60">
        <f t="shared" ca="1" si="8"/>
        <v>-1.1801323984056174E-2</v>
      </c>
      <c r="Q60" s="2">
        <f t="shared" si="9"/>
        <v>26523.949999999997</v>
      </c>
      <c r="AA60" s="5"/>
      <c r="AB60" t="s">
        <v>32</v>
      </c>
      <c r="AD60" t="s">
        <v>33</v>
      </c>
      <c r="AI60" t="s">
        <v>34</v>
      </c>
    </row>
    <row r="61" spans="1:35" x14ac:dyDescent="0.2">
      <c r="A61" t="s">
        <v>36</v>
      </c>
      <c r="C61" s="17">
        <v>41990.252999999997</v>
      </c>
      <c r="D61" s="10"/>
      <c r="E61">
        <f t="shared" si="6"/>
        <v>1780.9971402696538</v>
      </c>
      <c r="F61">
        <f t="shared" si="7"/>
        <v>1781</v>
      </c>
      <c r="G61">
        <f>+C61-(C$7+F61*C$8)</f>
        <v>-8.7713000029907562E-3</v>
      </c>
      <c r="I61">
        <f>G61</f>
        <v>-8.7713000029907562E-3</v>
      </c>
      <c r="O61">
        <f t="shared" ca="1" si="8"/>
        <v>-1.0886539479530293E-2</v>
      </c>
      <c r="Q61" s="2">
        <f t="shared" si="9"/>
        <v>26971.752999999997</v>
      </c>
      <c r="AA61" s="5"/>
      <c r="AD61" t="s">
        <v>35</v>
      </c>
      <c r="AI61" t="s">
        <v>34</v>
      </c>
    </row>
    <row r="62" spans="1:35" x14ac:dyDescent="0.2">
      <c r="A62" t="s">
        <v>36</v>
      </c>
      <c r="B62" t="s">
        <v>46</v>
      </c>
      <c r="C62" s="17">
        <v>42007.137000000002</v>
      </c>
      <c r="D62" s="10"/>
      <c r="E62">
        <f t="shared" si="6"/>
        <v>1786.5018758452613</v>
      </c>
      <c r="F62">
        <f t="shared" si="7"/>
        <v>1786.5</v>
      </c>
      <c r="G62">
        <f>+C62-(C$7+F62*C$8)</f>
        <v>5.7535500018275343E-3</v>
      </c>
      <c r="I62">
        <f>G62</f>
        <v>5.7535500018275343E-3</v>
      </c>
      <c r="O62">
        <f t="shared" ca="1" si="8"/>
        <v>-1.0852078419428292E-2</v>
      </c>
      <c r="Q62" s="2">
        <f t="shared" si="9"/>
        <v>26988.637000000002</v>
      </c>
      <c r="AA62" s="5"/>
      <c r="AC62" t="s">
        <v>37</v>
      </c>
      <c r="AD62" t="s">
        <v>35</v>
      </c>
      <c r="AI62" t="s">
        <v>34</v>
      </c>
    </row>
    <row r="63" spans="1:35" x14ac:dyDescent="0.2">
      <c r="A63" t="s">
        <v>36</v>
      </c>
      <c r="B63" t="s">
        <v>46</v>
      </c>
      <c r="C63" s="17">
        <v>42010.165999999997</v>
      </c>
      <c r="D63" s="10"/>
      <c r="E63">
        <f t="shared" si="6"/>
        <v>1787.4894287982631</v>
      </c>
      <c r="F63">
        <f t="shared" si="7"/>
        <v>1787.5</v>
      </c>
      <c r="O63">
        <f t="shared" ca="1" si="8"/>
        <v>-1.0845812772137017E-2</v>
      </c>
      <c r="Q63" s="2">
        <f t="shared" si="9"/>
        <v>26991.665999999997</v>
      </c>
      <c r="U63">
        <f>+C63-(C$7+F63*C$8)</f>
        <v>-3.2423750002635643E-2</v>
      </c>
      <c r="AA63" s="5"/>
      <c r="AC63" t="s">
        <v>37</v>
      </c>
      <c r="AD63" t="s">
        <v>35</v>
      </c>
      <c r="AI63" t="s">
        <v>34</v>
      </c>
    </row>
    <row r="64" spans="1:35" x14ac:dyDescent="0.2">
      <c r="A64" t="s">
        <v>39</v>
      </c>
      <c r="C64" s="17">
        <v>45603.417000000001</v>
      </c>
      <c r="D64" s="10"/>
      <c r="E64">
        <f t="shared" si="6"/>
        <v>2959.0066410572363</v>
      </c>
      <c r="F64">
        <f t="shared" si="7"/>
        <v>2959</v>
      </c>
      <c r="G64">
        <f t="shared" ref="G64:G71" si="10">+C64-(C$7+F64*C$8)</f>
        <v>2.0369300000311341E-2</v>
      </c>
      <c r="I64">
        <f>G64</f>
        <v>2.0369300000311341E-2</v>
      </c>
      <c r="O64">
        <f t="shared" ca="1" si="8"/>
        <v>-3.5056069704105103E-3</v>
      </c>
      <c r="Q64" s="2">
        <f t="shared" si="9"/>
        <v>30584.917000000001</v>
      </c>
      <c r="AA64" s="5"/>
      <c r="AD64" t="s">
        <v>33</v>
      </c>
      <c r="AF64">
        <v>7</v>
      </c>
      <c r="AG64" t="s">
        <v>38</v>
      </c>
      <c r="AI64" t="s">
        <v>40</v>
      </c>
    </row>
    <row r="65" spans="1:35" x14ac:dyDescent="0.2">
      <c r="A65" t="s">
        <v>42</v>
      </c>
      <c r="C65" s="17">
        <v>46333.39</v>
      </c>
      <c r="D65" s="10"/>
      <c r="E65">
        <f t="shared" si="6"/>
        <v>3197.0016862083585</v>
      </c>
      <c r="F65">
        <f t="shared" si="7"/>
        <v>3197</v>
      </c>
      <c r="G65">
        <f t="shared" si="10"/>
        <v>5.1719000039156526E-3</v>
      </c>
      <c r="I65">
        <f>G65</f>
        <v>5.1719000039156526E-3</v>
      </c>
      <c r="O65">
        <f t="shared" ca="1" si="8"/>
        <v>-2.0143829150874974E-3</v>
      </c>
      <c r="Q65" s="2">
        <f t="shared" si="9"/>
        <v>31314.89</v>
      </c>
      <c r="AA65" s="5"/>
      <c r="AD65" t="s">
        <v>33</v>
      </c>
      <c r="AF65">
        <v>16</v>
      </c>
      <c r="AG65" t="s">
        <v>41</v>
      </c>
      <c r="AI65" t="s">
        <v>40</v>
      </c>
    </row>
    <row r="66" spans="1:35" x14ac:dyDescent="0.2">
      <c r="A66" t="s">
        <v>44</v>
      </c>
      <c r="C66" s="17">
        <v>48888.347000000002</v>
      </c>
      <c r="D66" s="10"/>
      <c r="E66">
        <f t="shared" si="6"/>
        <v>4030.0011349197202</v>
      </c>
      <c r="F66">
        <f t="shared" si="7"/>
        <v>4030</v>
      </c>
      <c r="G66">
        <f t="shared" si="10"/>
        <v>3.4809999997378327E-3</v>
      </c>
      <c r="I66">
        <f>G66</f>
        <v>3.4809999997378327E-3</v>
      </c>
      <c r="O66">
        <f t="shared" ca="1" si="8"/>
        <v>3.2049012785430424E-3</v>
      </c>
      <c r="Q66" s="2">
        <f t="shared" si="9"/>
        <v>33869.847000000002</v>
      </c>
      <c r="AA66" s="5">
        <v>6</v>
      </c>
      <c r="AD66" t="s">
        <v>35</v>
      </c>
      <c r="AE66" t="s">
        <v>43</v>
      </c>
      <c r="AI66" t="s">
        <v>34</v>
      </c>
    </row>
    <row r="67" spans="1:35" x14ac:dyDescent="0.2">
      <c r="A67" s="50" t="s">
        <v>241</v>
      </c>
      <c r="B67" s="51" t="s">
        <v>48</v>
      </c>
      <c r="C67" s="50">
        <v>48888.347600000001</v>
      </c>
      <c r="D67" s="50" t="s">
        <v>74</v>
      </c>
      <c r="E67">
        <f t="shared" si="6"/>
        <v>4030.0013305393209</v>
      </c>
      <c r="F67">
        <f t="shared" si="7"/>
        <v>4030</v>
      </c>
      <c r="G67">
        <f t="shared" si="10"/>
        <v>4.080999999132473E-3</v>
      </c>
      <c r="J67">
        <f>G67</f>
        <v>4.080999999132473E-3</v>
      </c>
      <c r="O67">
        <f t="shared" ca="1" si="8"/>
        <v>3.2049012785430424E-3</v>
      </c>
      <c r="Q67" s="2">
        <f t="shared" si="9"/>
        <v>33869.847600000001</v>
      </c>
    </row>
    <row r="68" spans="1:35" x14ac:dyDescent="0.2">
      <c r="A68" t="s">
        <v>44</v>
      </c>
      <c r="C68" s="17">
        <v>48888.347999999998</v>
      </c>
      <c r="D68" s="10"/>
      <c r="E68">
        <f t="shared" ref="E68:E81" si="11">+(C68-C$7)/C$8</f>
        <v>4030.0014609523873</v>
      </c>
      <c r="F68">
        <f t="shared" ref="F68:F82" si="12">ROUND(2*E68,0)/2</f>
        <v>4030</v>
      </c>
      <c r="G68">
        <f t="shared" si="10"/>
        <v>4.4809999963035807E-3</v>
      </c>
      <c r="I68">
        <f>G68</f>
        <v>4.4809999963035807E-3</v>
      </c>
      <c r="O68">
        <f t="shared" ref="O68:O81" ca="1" si="13">+C$11+C$12*F68</f>
        <v>3.2049012785430424E-3</v>
      </c>
      <c r="Q68" s="2">
        <f t="shared" ref="Q68:Q81" si="14">+C68-15018.5</f>
        <v>33869.847999999998</v>
      </c>
      <c r="AA68" s="5">
        <v>1</v>
      </c>
      <c r="AD68" t="s">
        <v>35</v>
      </c>
      <c r="AE68" t="s">
        <v>40</v>
      </c>
      <c r="AI68" t="s">
        <v>34</v>
      </c>
    </row>
    <row r="69" spans="1:35" x14ac:dyDescent="0.2">
      <c r="A69" s="53" t="s">
        <v>241</v>
      </c>
      <c r="B69" s="54" t="s">
        <v>48</v>
      </c>
      <c r="C69" s="53">
        <v>48888.348100000003</v>
      </c>
      <c r="D69" s="53" t="s">
        <v>74</v>
      </c>
      <c r="E69">
        <f t="shared" si="11"/>
        <v>4030.001493555656</v>
      </c>
      <c r="F69">
        <f t="shared" si="12"/>
        <v>4030</v>
      </c>
      <c r="G69">
        <f t="shared" si="10"/>
        <v>4.5810000010533258E-3</v>
      </c>
      <c r="J69">
        <f>G69</f>
        <v>4.5810000010533258E-3</v>
      </c>
      <c r="O69">
        <f t="shared" ca="1" si="13"/>
        <v>3.2049012785430424E-3</v>
      </c>
      <c r="Q69" s="2">
        <f t="shared" si="14"/>
        <v>33869.848100000003</v>
      </c>
    </row>
    <row r="70" spans="1:35" x14ac:dyDescent="0.2">
      <c r="A70" s="55" t="s">
        <v>45</v>
      </c>
      <c r="B70" s="54" t="s">
        <v>48</v>
      </c>
      <c r="C70" s="53">
        <v>49308.555699999997</v>
      </c>
      <c r="D70" s="53">
        <v>1E-4</v>
      </c>
      <c r="E70">
        <f t="shared" si="11"/>
        <v>4167.002898723852</v>
      </c>
      <c r="F70">
        <f t="shared" si="12"/>
        <v>4167</v>
      </c>
      <c r="G70">
        <f t="shared" si="10"/>
        <v>8.8908999969135039E-3</v>
      </c>
      <c r="K70">
        <f>G70</f>
        <v>8.8908999969135039E-3</v>
      </c>
      <c r="O70">
        <f t="shared" ca="1" si="13"/>
        <v>4.0632949574474671E-3</v>
      </c>
      <c r="Q70" s="2">
        <f t="shared" si="14"/>
        <v>34290.055699999997</v>
      </c>
    </row>
    <row r="71" spans="1:35" x14ac:dyDescent="0.2">
      <c r="A71" s="56" t="s">
        <v>52</v>
      </c>
      <c r="B71" s="57" t="s">
        <v>48</v>
      </c>
      <c r="C71" s="58">
        <v>52188.636039999998</v>
      </c>
      <c r="D71" s="58">
        <v>6.9999999999999994E-5</v>
      </c>
      <c r="E71">
        <f t="shared" si="11"/>
        <v>5106.0031775795933</v>
      </c>
      <c r="F71">
        <f t="shared" si="12"/>
        <v>5106</v>
      </c>
      <c r="G71">
        <f t="shared" si="10"/>
        <v>9.7461999976076186E-3</v>
      </c>
      <c r="K71">
        <f>G71</f>
        <v>9.7461999976076186E-3</v>
      </c>
      <c r="O71">
        <f t="shared" ca="1" si="13"/>
        <v>9.9467377639529606E-3</v>
      </c>
      <c r="Q71" s="2">
        <f t="shared" si="14"/>
        <v>37170.136039999998</v>
      </c>
    </row>
    <row r="72" spans="1:35" x14ac:dyDescent="0.2">
      <c r="A72" s="53" t="s">
        <v>47</v>
      </c>
      <c r="B72" s="59" t="s">
        <v>46</v>
      </c>
      <c r="C72" s="60">
        <v>52947.8024</v>
      </c>
      <c r="D72" s="60">
        <v>2.7000000000000001E-3</v>
      </c>
      <c r="E72">
        <f t="shared" si="11"/>
        <v>5353.5162117951259</v>
      </c>
      <c r="F72">
        <f t="shared" si="12"/>
        <v>5353.5</v>
      </c>
      <c r="O72">
        <f t="shared" ca="1" si="13"/>
        <v>1.1497485468543067E-2</v>
      </c>
      <c r="Q72" s="2">
        <f t="shared" si="14"/>
        <v>37929.3024</v>
      </c>
      <c r="U72" s="12">
        <v>4.9724450000212528E-2</v>
      </c>
    </row>
    <row r="73" spans="1:35" x14ac:dyDescent="0.2">
      <c r="A73" s="10" t="s">
        <v>47</v>
      </c>
      <c r="B73" s="11" t="s">
        <v>48</v>
      </c>
      <c r="C73" s="18">
        <v>52949.297100000003</v>
      </c>
      <c r="D73" s="19">
        <v>3.3999999999999998E-3</v>
      </c>
      <c r="E73">
        <f t="shared" si="11"/>
        <v>5354.0035328247914</v>
      </c>
      <c r="F73">
        <f t="shared" si="12"/>
        <v>5354</v>
      </c>
      <c r="G73">
        <f t="shared" ref="G73:G81" si="15">+C73-(C$7+F73*C$8)</f>
        <v>1.0835800007043872E-2</v>
      </c>
      <c r="K73">
        <f>G73</f>
        <v>1.0835800007043872E-2</v>
      </c>
      <c r="O73">
        <f t="shared" ca="1" si="13"/>
        <v>1.1500618292188708E-2</v>
      </c>
      <c r="Q73" s="2">
        <f t="shared" si="14"/>
        <v>37930.797100000003</v>
      </c>
    </row>
    <row r="74" spans="1:35" x14ac:dyDescent="0.2">
      <c r="A74" s="20" t="s">
        <v>54</v>
      </c>
      <c r="B74" s="11" t="s">
        <v>48</v>
      </c>
      <c r="C74" s="10">
        <v>54096.426399999997</v>
      </c>
      <c r="D74" s="10">
        <v>1.6000000000000001E-3</v>
      </c>
      <c r="E74">
        <f t="shared" si="11"/>
        <v>5728.0051596625981</v>
      </c>
      <c r="F74">
        <f t="shared" si="12"/>
        <v>5728</v>
      </c>
      <c r="G74">
        <f t="shared" si="15"/>
        <v>1.5825599999516271E-2</v>
      </c>
      <c r="J74">
        <f>G74</f>
        <v>1.5825599999516271E-2</v>
      </c>
      <c r="O74">
        <f t="shared" ca="1" si="13"/>
        <v>1.3843970379124867E-2</v>
      </c>
      <c r="Q74" s="2">
        <f t="shared" si="14"/>
        <v>39077.926399999997</v>
      </c>
    </row>
    <row r="75" spans="1:35" x14ac:dyDescent="0.2">
      <c r="A75" s="50" t="s">
        <v>277</v>
      </c>
      <c r="B75" s="51" t="s">
        <v>48</v>
      </c>
      <c r="C75" s="50">
        <v>54850.953500000003</v>
      </c>
      <c r="D75" s="50" t="s">
        <v>74</v>
      </c>
      <c r="E75">
        <f t="shared" si="11"/>
        <v>5974.0056435602874</v>
      </c>
      <c r="F75">
        <f t="shared" si="12"/>
        <v>5974</v>
      </c>
      <c r="G75">
        <f t="shared" si="15"/>
        <v>1.7309800008661114E-2</v>
      </c>
      <c r="K75">
        <f>G75</f>
        <v>1.7309800008661114E-2</v>
      </c>
      <c r="O75">
        <f t="shared" ca="1" si="13"/>
        <v>1.5385319612778066E-2</v>
      </c>
      <c r="Q75" s="2">
        <f t="shared" si="14"/>
        <v>39832.453500000003</v>
      </c>
    </row>
    <row r="76" spans="1:35" x14ac:dyDescent="0.2">
      <c r="A76" s="50" t="s">
        <v>282</v>
      </c>
      <c r="B76" s="51" t="s">
        <v>48</v>
      </c>
      <c r="C76" s="50">
        <v>55154.602899999998</v>
      </c>
      <c r="D76" s="50" t="s">
        <v>74</v>
      </c>
      <c r="E76">
        <f t="shared" si="11"/>
        <v>6073.0052677424283</v>
      </c>
      <c r="F76">
        <f t="shared" si="12"/>
        <v>6073</v>
      </c>
      <c r="G76">
        <f t="shared" si="15"/>
        <v>1.6157099998963531E-2</v>
      </c>
      <c r="K76">
        <f>G76</f>
        <v>1.6157099998963531E-2</v>
      </c>
      <c r="O76">
        <f t="shared" ca="1" si="13"/>
        <v>1.6005618694614109E-2</v>
      </c>
      <c r="Q76" s="2">
        <f t="shared" si="14"/>
        <v>40136.102899999998</v>
      </c>
    </row>
    <row r="77" spans="1:35" x14ac:dyDescent="0.2">
      <c r="A77" s="50" t="s">
        <v>287</v>
      </c>
      <c r="B77" s="51" t="s">
        <v>46</v>
      </c>
      <c r="C77" s="50">
        <v>55858.532899999998</v>
      </c>
      <c r="D77" s="50" t="s">
        <v>74</v>
      </c>
      <c r="E77">
        <f t="shared" si="11"/>
        <v>6302.5094441068013</v>
      </c>
      <c r="F77">
        <f t="shared" si="12"/>
        <v>6302.5</v>
      </c>
      <c r="K77">
        <f>U77</f>
        <v>2.8966749996470753E-2</v>
      </c>
      <c r="O77">
        <f t="shared" ca="1" si="13"/>
        <v>1.7443584747961302E-2</v>
      </c>
      <c r="Q77" s="2">
        <f t="shared" si="14"/>
        <v>40840.032899999998</v>
      </c>
      <c r="U77">
        <f>+C77-(C$7+F77*C$8)</f>
        <v>2.8966749996470753E-2</v>
      </c>
    </row>
    <row r="78" spans="1:35" x14ac:dyDescent="0.2">
      <c r="A78" s="50" t="s">
        <v>293</v>
      </c>
      <c r="B78" s="51" t="s">
        <v>48</v>
      </c>
      <c r="C78" s="50">
        <v>56154.503750000003</v>
      </c>
      <c r="D78" s="50" t="s">
        <v>74</v>
      </c>
      <c r="E78">
        <f t="shared" si="11"/>
        <v>6399.0056101419386</v>
      </c>
      <c r="F78">
        <f t="shared" si="12"/>
        <v>6399</v>
      </c>
      <c r="G78">
        <f t="shared" si="15"/>
        <v>1.720729999942705E-2</v>
      </c>
      <c r="K78">
        <f>G78</f>
        <v>1.720729999942705E-2</v>
      </c>
      <c r="O78">
        <f t="shared" ca="1" si="13"/>
        <v>1.8048219711569162E-2</v>
      </c>
      <c r="Q78" s="2">
        <f t="shared" si="14"/>
        <v>41136.003750000003</v>
      </c>
    </row>
    <row r="79" spans="1:35" x14ac:dyDescent="0.2">
      <c r="A79" s="60" t="s">
        <v>64</v>
      </c>
      <c r="B79" s="54"/>
      <c r="C79" s="60">
        <v>56924.3675</v>
      </c>
      <c r="D79" s="60">
        <v>1.4E-3</v>
      </c>
      <c r="E79">
        <f t="shared" si="11"/>
        <v>6650.0063429655665</v>
      </c>
      <c r="F79">
        <f t="shared" si="12"/>
        <v>6650</v>
      </c>
      <c r="G79">
        <f t="shared" si="15"/>
        <v>1.945500000147149E-2</v>
      </c>
      <c r="J79">
        <f>G79</f>
        <v>1.945500000147149E-2</v>
      </c>
      <c r="O79">
        <f t="shared" ca="1" si="13"/>
        <v>1.9620897181678726E-2</v>
      </c>
      <c r="Q79" s="2">
        <f t="shared" si="14"/>
        <v>41905.8675</v>
      </c>
    </row>
    <row r="80" spans="1:35" x14ac:dyDescent="0.2">
      <c r="A80" s="64" t="s">
        <v>1</v>
      </c>
      <c r="B80" s="65" t="s">
        <v>48</v>
      </c>
      <c r="C80" s="66">
        <v>57266.383099999999</v>
      </c>
      <c r="D80" s="66" t="s">
        <v>3</v>
      </c>
      <c r="E80">
        <f t="shared" si="11"/>
        <v>6761.5146017153947</v>
      </c>
      <c r="F80">
        <f t="shared" si="12"/>
        <v>6761.5</v>
      </c>
      <c r="O80">
        <f t="shared" ca="1" si="13"/>
        <v>2.0319516854655682E-2</v>
      </c>
      <c r="Q80" s="2">
        <f t="shared" si="14"/>
        <v>42247.883099999999</v>
      </c>
      <c r="U80">
        <f>+C80-(C$7+F80*C$8)</f>
        <v>4.4786049998947419E-2</v>
      </c>
    </row>
    <row r="81" spans="1:17" x14ac:dyDescent="0.2">
      <c r="A81" s="61" t="s">
        <v>2</v>
      </c>
      <c r="B81" s="62" t="s">
        <v>48</v>
      </c>
      <c r="C81" s="63">
        <v>57338.432000000001</v>
      </c>
      <c r="D81" s="63">
        <v>4.0000000000000002E-4</v>
      </c>
      <c r="E81">
        <f t="shared" si="11"/>
        <v>6785.0048968476658</v>
      </c>
      <c r="F81">
        <f t="shared" si="12"/>
        <v>6785</v>
      </c>
      <c r="G81">
        <f t="shared" si="15"/>
        <v>1.5019500002381392E-2</v>
      </c>
      <c r="I81">
        <f>G81</f>
        <v>1.5019500002381392E-2</v>
      </c>
      <c r="O81">
        <f t="shared" ca="1" si="13"/>
        <v>2.0466759566000602E-2</v>
      </c>
      <c r="Q81" s="2">
        <f t="shared" si="14"/>
        <v>42319.932000000001</v>
      </c>
    </row>
    <row r="82" spans="1:17" x14ac:dyDescent="0.2">
      <c r="A82" s="67" t="s">
        <v>0</v>
      </c>
      <c r="B82" s="68" t="s">
        <v>48</v>
      </c>
      <c r="C82" s="69">
        <v>57982.5458</v>
      </c>
      <c r="D82" s="69">
        <v>2.3999999999999998E-3</v>
      </c>
      <c r="E82">
        <f>+(C82-C$7)/C$8</f>
        <v>6995.0070379041999</v>
      </c>
      <c r="F82">
        <f t="shared" si="12"/>
        <v>6995</v>
      </c>
      <c r="G82">
        <f>+C82-(C$7+F82*C$8)</f>
        <v>2.1586499999102671E-2</v>
      </c>
      <c r="I82">
        <f>G82</f>
        <v>2.1586499999102671E-2</v>
      </c>
      <c r="O82">
        <f ca="1">+C$11+C$12*F82</f>
        <v>2.178254549716796E-2</v>
      </c>
      <c r="Q82" s="2">
        <f>+C82-15018.5</f>
        <v>42964.0458</v>
      </c>
    </row>
    <row r="83" spans="1:17" x14ac:dyDescent="0.2">
      <c r="A83" s="70" t="s">
        <v>300</v>
      </c>
      <c r="B83" s="71" t="s">
        <v>48</v>
      </c>
      <c r="C83" s="72">
        <v>59123.540399999998</v>
      </c>
      <c r="D83" s="70">
        <v>8.9999999999999998E-4</v>
      </c>
      <c r="E83">
        <f t="shared" ref="E83:E84" si="16">+(C83-C$7)/C$8</f>
        <v>7367.0085521303254</v>
      </c>
      <c r="F83">
        <f t="shared" ref="F83:F84" si="17">ROUND(2*E83,0)/2</f>
        <v>7367</v>
      </c>
      <c r="G83">
        <f t="shared" ref="G83:G84" si="18">+C83-(C$7+F83*C$8)</f>
        <v>2.6230899995425716E-2</v>
      </c>
      <c r="K83">
        <f>G83</f>
        <v>2.6230899995425716E-2</v>
      </c>
      <c r="O83">
        <f t="shared" ref="O83:O84" ca="1" si="19">+C$11+C$12*F83</f>
        <v>2.4113366289521578E-2</v>
      </c>
      <c r="Q83" s="2">
        <f t="shared" ref="Q83:Q84" si="20">+C83-15018.5</f>
        <v>44105.040399999998</v>
      </c>
    </row>
    <row r="84" spans="1:17" x14ac:dyDescent="0.2">
      <c r="A84" s="70" t="s">
        <v>300</v>
      </c>
      <c r="B84" s="71" t="s">
        <v>48</v>
      </c>
      <c r="C84" s="72">
        <v>59482.400099999999</v>
      </c>
      <c r="D84" s="70">
        <v>8.9999999999999998E-4</v>
      </c>
      <c r="E84">
        <f t="shared" si="16"/>
        <v>7484.0085377522846</v>
      </c>
      <c r="F84">
        <f t="shared" si="17"/>
        <v>7484</v>
      </c>
      <c r="G84">
        <f t="shared" si="18"/>
        <v>2.6186800001596566E-2</v>
      </c>
      <c r="K84">
        <f>G84</f>
        <v>2.6186800001596566E-2</v>
      </c>
      <c r="O84">
        <f t="shared" ca="1" si="19"/>
        <v>2.484644702260054E-2</v>
      </c>
      <c r="Q84" s="2">
        <f t="shared" si="20"/>
        <v>44463.900099999999</v>
      </c>
    </row>
    <row r="85" spans="1:17" x14ac:dyDescent="0.2">
      <c r="B85" s="5"/>
    </row>
    <row r="86" spans="1:17" x14ac:dyDescent="0.2">
      <c r="B86" s="5"/>
    </row>
    <row r="87" spans="1:17" x14ac:dyDescent="0.2">
      <c r="B87" s="5"/>
    </row>
    <row r="88" spans="1:17" x14ac:dyDescent="0.2">
      <c r="B88" s="5"/>
    </row>
    <row r="89" spans="1:17" x14ac:dyDescent="0.2">
      <c r="B89" s="5"/>
    </row>
    <row r="90" spans="1:17" x14ac:dyDescent="0.2">
      <c r="B90" s="5"/>
    </row>
    <row r="91" spans="1:17" x14ac:dyDescent="0.2">
      <c r="B91" s="5"/>
    </row>
    <row r="92" spans="1:17" x14ac:dyDescent="0.2">
      <c r="B92" s="5"/>
    </row>
  </sheetData>
  <phoneticPr fontId="8" type="noConversion"/>
  <hyperlinks>
    <hyperlink ref="H2092" r:id="rId1" display="http://vsolj.cetus-net.org/bulletin.html" xr:uid="{00000000-0004-0000-0000-000000000000}"/>
    <hyperlink ref="H64608" r:id="rId2" display="http://vsolj.cetus-net.org/bulletin.html" xr:uid="{00000000-0004-0000-0000-000001000000}"/>
    <hyperlink ref="H64601" r:id="rId3" display="https://www.aavso.org/ejaavso" xr:uid="{00000000-0004-0000-0000-000002000000}"/>
    <hyperlink ref="AP1459" r:id="rId4" display="http://cdsbib.u-strasbg.fr/cgi-bin/cdsbib?1990RMxAA..21..381G" xr:uid="{00000000-0004-0000-0000-000003000000}"/>
    <hyperlink ref="AP1456" r:id="rId5" display="http://cdsbib.u-strasbg.fr/cgi-bin/cdsbib?1990RMxAA..21..381G" xr:uid="{00000000-0004-0000-0000-000004000000}"/>
    <hyperlink ref="AP1458" r:id="rId6" display="http://cdsbib.u-strasbg.fr/cgi-bin/cdsbib?1990RMxAA..21..381G" xr:uid="{00000000-0004-0000-0000-000005000000}"/>
    <hyperlink ref="AP1434" r:id="rId7" display="http://cdsbib.u-strasbg.fr/cgi-bin/cdsbib?1990RMxAA..21..381G" xr:uid="{00000000-0004-0000-0000-000006000000}"/>
    <hyperlink ref="I64608" r:id="rId8" display="http://vsolj.cetus-net.org/bulletin.html" xr:uid="{00000000-0004-0000-0000-000007000000}"/>
    <hyperlink ref="AQ1595" r:id="rId9" display="http://cdsbib.u-strasbg.fr/cgi-bin/cdsbib?1990RMxAA..21..381G" xr:uid="{00000000-0004-0000-0000-000008000000}"/>
    <hyperlink ref="AQ3239" r:id="rId10" display="http://cdsbib.u-strasbg.fr/cgi-bin/cdsbib?1990RMxAA..21..381G" xr:uid="{00000000-0004-0000-0000-000009000000}"/>
    <hyperlink ref="AQ1596" r:id="rId11" display="http://cdsbib.u-strasbg.fr/cgi-bin/cdsbib?1990RMxAA..21..381G" xr:uid="{00000000-0004-0000-0000-00000A000000}"/>
    <hyperlink ref="H64605" r:id="rId12" display="https://www.aavso.org/ejaavso" xr:uid="{00000000-0004-0000-0000-00000B000000}"/>
    <hyperlink ref="H2446" r:id="rId13" display="http://vsolj.cetus-net.org/bulletin.html" xr:uid="{00000000-0004-0000-0000-00000C000000}"/>
    <hyperlink ref="AP5684" r:id="rId14" display="http://cdsbib.u-strasbg.fr/cgi-bin/cdsbib?1990RMxAA..21..381G" xr:uid="{00000000-0004-0000-0000-00000D000000}"/>
    <hyperlink ref="AP5687" r:id="rId15" display="http://cdsbib.u-strasbg.fr/cgi-bin/cdsbib?1990RMxAA..21..381G" xr:uid="{00000000-0004-0000-0000-00000E000000}"/>
    <hyperlink ref="AP5685" r:id="rId16" display="http://cdsbib.u-strasbg.fr/cgi-bin/cdsbib?1990RMxAA..21..381G" xr:uid="{00000000-0004-0000-0000-00000F000000}"/>
    <hyperlink ref="AP5663" r:id="rId17" display="http://cdsbib.u-strasbg.fr/cgi-bin/cdsbib?1990RMxAA..21..381G" xr:uid="{00000000-0004-0000-0000-000010000000}"/>
    <hyperlink ref="I2446" r:id="rId18" display="http://vsolj.cetus-net.org/bulletin.html" xr:uid="{00000000-0004-0000-0000-000011000000}"/>
    <hyperlink ref="AQ5797" r:id="rId19" display="http://cdsbib.u-strasbg.fr/cgi-bin/cdsbib?1990RMxAA..21..381G" xr:uid="{00000000-0004-0000-0000-000012000000}"/>
    <hyperlink ref="AQ349" r:id="rId20" display="http://cdsbib.u-strasbg.fr/cgi-bin/cdsbib?1990RMxAA..21..381G" xr:uid="{00000000-0004-0000-0000-000013000000}"/>
    <hyperlink ref="AQ579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topLeftCell="A29" workbookViewId="0">
      <selection activeCell="A24" sqref="A24:D67"/>
    </sheetView>
  </sheetViews>
  <sheetFormatPr defaultRowHeight="12.75" x14ac:dyDescent="0.2"/>
  <cols>
    <col min="1" max="1" width="19.7109375" style="10" customWidth="1"/>
    <col min="2" max="2" width="4.42578125" style="22" customWidth="1"/>
    <col min="3" max="3" width="12.7109375" style="10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0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37" t="s">
        <v>65</v>
      </c>
      <c r="I1" s="38" t="s">
        <v>66</v>
      </c>
      <c r="J1" s="39" t="s">
        <v>67</v>
      </c>
    </row>
    <row r="2" spans="1:16" x14ac:dyDescent="0.2">
      <c r="I2" s="40" t="s">
        <v>68</v>
      </c>
      <c r="J2" s="41" t="s">
        <v>69</v>
      </c>
    </row>
    <row r="3" spans="1:16" x14ac:dyDescent="0.2">
      <c r="A3" s="42" t="s">
        <v>70</v>
      </c>
      <c r="I3" s="40" t="s">
        <v>71</v>
      </c>
      <c r="J3" s="41" t="s">
        <v>72</v>
      </c>
    </row>
    <row r="4" spans="1:16" x14ac:dyDescent="0.2">
      <c r="I4" s="40" t="s">
        <v>73</v>
      </c>
      <c r="J4" s="41" t="s">
        <v>72</v>
      </c>
    </row>
    <row r="5" spans="1:16" ht="13.5" thickBot="1" x14ac:dyDescent="0.25">
      <c r="I5" s="43" t="s">
        <v>43</v>
      </c>
      <c r="J5" s="44" t="s">
        <v>74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AJ 64.469 </v>
      </c>
      <c r="B11" s="5" t="str">
        <f t="shared" ref="B11:B42" si="1">IF(H11=INT(H11),"I","II")</f>
        <v>I</v>
      </c>
      <c r="C11" s="10">
        <f t="shared" ref="C11:C42" si="2">1*G11</f>
        <v>36527.618999999999</v>
      </c>
      <c r="D11" s="22" t="str">
        <f t="shared" ref="D11:D42" si="3">VLOOKUP(F11,I$1:J$5,2,FALSE)</f>
        <v>vis</v>
      </c>
      <c r="E11" s="45">
        <f>VLOOKUP(C11,Active!C$21:E$972,3,FALSE)</f>
        <v>0</v>
      </c>
      <c r="F11" s="5" t="s">
        <v>43</v>
      </c>
      <c r="G11" s="22" t="str">
        <f t="shared" ref="G11:G42" si="4">MID(I11,3,LEN(I11)-3)</f>
        <v>36527.619</v>
      </c>
      <c r="H11" s="10">
        <f t="shared" ref="H11:H42" si="5">1*K11</f>
        <v>0</v>
      </c>
      <c r="I11" s="46" t="s">
        <v>177</v>
      </c>
      <c r="J11" s="47" t="s">
        <v>178</v>
      </c>
      <c r="K11" s="46">
        <v>0</v>
      </c>
      <c r="L11" s="46" t="s">
        <v>179</v>
      </c>
      <c r="M11" s="47" t="s">
        <v>180</v>
      </c>
      <c r="N11" s="47" t="s">
        <v>181</v>
      </c>
      <c r="O11" s="48" t="s">
        <v>182</v>
      </c>
      <c r="P11" s="48" t="s">
        <v>183</v>
      </c>
    </row>
    <row r="12" spans="1:16" ht="12.75" customHeight="1" thickBot="1" x14ac:dyDescent="0.25">
      <c r="A12" s="10" t="str">
        <f t="shared" si="0"/>
        <v>IBVS 740 </v>
      </c>
      <c r="B12" s="5" t="str">
        <f t="shared" si="1"/>
        <v>I</v>
      </c>
      <c r="C12" s="10">
        <f t="shared" si="2"/>
        <v>41542.442999999999</v>
      </c>
      <c r="D12" s="22" t="str">
        <f t="shared" si="3"/>
        <v>vis</v>
      </c>
      <c r="E12" s="45">
        <f>VLOOKUP(C12,Active!C$21:E$972,3,FALSE)</f>
        <v>1634.9964509713868</v>
      </c>
      <c r="F12" s="5" t="s">
        <v>43</v>
      </c>
      <c r="G12" s="22" t="str">
        <f t="shared" si="4"/>
        <v>41542.443</v>
      </c>
      <c r="H12" s="10">
        <f t="shared" si="5"/>
        <v>1635</v>
      </c>
      <c r="I12" s="46" t="s">
        <v>210</v>
      </c>
      <c r="J12" s="47" t="s">
        <v>211</v>
      </c>
      <c r="K12" s="46">
        <v>1635</v>
      </c>
      <c r="L12" s="46" t="s">
        <v>138</v>
      </c>
      <c r="M12" s="47" t="s">
        <v>80</v>
      </c>
      <c r="N12" s="47"/>
      <c r="O12" s="48" t="s">
        <v>212</v>
      </c>
      <c r="P12" s="49" t="s">
        <v>213</v>
      </c>
    </row>
    <row r="13" spans="1:16" ht="12.75" customHeight="1" thickBot="1" x14ac:dyDescent="0.25">
      <c r="A13" s="10" t="str">
        <f t="shared" si="0"/>
        <v>IBVS 740 </v>
      </c>
      <c r="B13" s="5" t="str">
        <f t="shared" si="1"/>
        <v>I</v>
      </c>
      <c r="C13" s="10">
        <f t="shared" si="2"/>
        <v>41542.449999999997</v>
      </c>
      <c r="D13" s="22" t="str">
        <f t="shared" si="3"/>
        <v>vis</v>
      </c>
      <c r="E13" s="45">
        <f>VLOOKUP(C13,Active!C$21:E$972,3,FALSE)</f>
        <v>1634.9987332000658</v>
      </c>
      <c r="F13" s="5" t="s">
        <v>43</v>
      </c>
      <c r="G13" s="22" t="str">
        <f t="shared" si="4"/>
        <v>41542.450</v>
      </c>
      <c r="H13" s="10">
        <f t="shared" si="5"/>
        <v>1635</v>
      </c>
      <c r="I13" s="46" t="s">
        <v>214</v>
      </c>
      <c r="J13" s="47" t="s">
        <v>215</v>
      </c>
      <c r="K13" s="46">
        <v>1635</v>
      </c>
      <c r="L13" s="46" t="s">
        <v>124</v>
      </c>
      <c r="M13" s="47" t="s">
        <v>80</v>
      </c>
      <c r="N13" s="47"/>
      <c r="O13" s="48" t="s">
        <v>216</v>
      </c>
      <c r="P13" s="49" t="s">
        <v>213</v>
      </c>
    </row>
    <row r="14" spans="1:16" ht="12.75" customHeight="1" thickBot="1" x14ac:dyDescent="0.25">
      <c r="A14" s="10" t="str">
        <f t="shared" si="0"/>
        <v> ASS 92.150 </v>
      </c>
      <c r="B14" s="5" t="str">
        <f t="shared" si="1"/>
        <v>I</v>
      </c>
      <c r="C14" s="10">
        <f t="shared" si="2"/>
        <v>41990.252999999997</v>
      </c>
      <c r="D14" s="22" t="str">
        <f t="shared" si="3"/>
        <v>vis</v>
      </c>
      <c r="E14" s="45">
        <f>VLOOKUP(C14,Active!C$21:E$972,3,FALSE)</f>
        <v>1780.9971402696538</v>
      </c>
      <c r="F14" s="5" t="s">
        <v>43</v>
      </c>
      <c r="G14" s="22" t="str">
        <f t="shared" si="4"/>
        <v>41990.253</v>
      </c>
      <c r="H14" s="10">
        <f t="shared" si="5"/>
        <v>1781</v>
      </c>
      <c r="I14" s="46" t="s">
        <v>217</v>
      </c>
      <c r="J14" s="47" t="s">
        <v>218</v>
      </c>
      <c r="K14" s="46">
        <v>1781</v>
      </c>
      <c r="L14" s="46" t="s">
        <v>219</v>
      </c>
      <c r="M14" s="47" t="s">
        <v>180</v>
      </c>
      <c r="N14" s="47" t="s">
        <v>181</v>
      </c>
      <c r="O14" s="48" t="s">
        <v>220</v>
      </c>
      <c r="P14" s="48" t="s">
        <v>221</v>
      </c>
    </row>
    <row r="15" spans="1:16" ht="12.75" customHeight="1" thickBot="1" x14ac:dyDescent="0.25">
      <c r="A15" s="10" t="str">
        <f t="shared" si="0"/>
        <v> ASS 92.150 </v>
      </c>
      <c r="B15" s="5" t="str">
        <f t="shared" si="1"/>
        <v>II</v>
      </c>
      <c r="C15" s="10">
        <f t="shared" si="2"/>
        <v>42007.137000000002</v>
      </c>
      <c r="D15" s="22" t="str">
        <f t="shared" si="3"/>
        <v>vis</v>
      </c>
      <c r="E15" s="45">
        <f>VLOOKUP(C15,Active!C$21:E$972,3,FALSE)</f>
        <v>1786.5018758452613</v>
      </c>
      <c r="F15" s="5" t="s">
        <v>43</v>
      </c>
      <c r="G15" s="22" t="str">
        <f t="shared" si="4"/>
        <v>42007.137</v>
      </c>
      <c r="H15" s="10">
        <f t="shared" si="5"/>
        <v>1786.5</v>
      </c>
      <c r="I15" s="46" t="s">
        <v>222</v>
      </c>
      <c r="J15" s="47" t="s">
        <v>223</v>
      </c>
      <c r="K15" s="46">
        <v>1786.5</v>
      </c>
      <c r="L15" s="46" t="s">
        <v>156</v>
      </c>
      <c r="M15" s="47" t="s">
        <v>180</v>
      </c>
      <c r="N15" s="47" t="s">
        <v>181</v>
      </c>
      <c r="O15" s="48" t="s">
        <v>220</v>
      </c>
      <c r="P15" s="48" t="s">
        <v>221</v>
      </c>
    </row>
    <row r="16" spans="1:16" ht="12.75" customHeight="1" thickBot="1" x14ac:dyDescent="0.25">
      <c r="A16" s="10" t="str">
        <f t="shared" si="0"/>
        <v> ASS 92.150 </v>
      </c>
      <c r="B16" s="5" t="str">
        <f t="shared" si="1"/>
        <v>II</v>
      </c>
      <c r="C16" s="10">
        <f t="shared" si="2"/>
        <v>42010.165999999997</v>
      </c>
      <c r="D16" s="22" t="str">
        <f t="shared" si="3"/>
        <v>vis</v>
      </c>
      <c r="E16" s="45">
        <f>VLOOKUP(C16,Active!C$21:E$972,3,FALSE)</f>
        <v>1787.4894287982631</v>
      </c>
      <c r="F16" s="5" t="s">
        <v>43</v>
      </c>
      <c r="G16" s="22" t="str">
        <f t="shared" si="4"/>
        <v>42010.166</v>
      </c>
      <c r="H16" s="10">
        <f t="shared" si="5"/>
        <v>1787.5</v>
      </c>
      <c r="I16" s="46" t="s">
        <v>224</v>
      </c>
      <c r="J16" s="47" t="s">
        <v>225</v>
      </c>
      <c r="K16" s="46">
        <v>1787.5</v>
      </c>
      <c r="L16" s="46" t="s">
        <v>226</v>
      </c>
      <c r="M16" s="47" t="s">
        <v>180</v>
      </c>
      <c r="N16" s="47" t="s">
        <v>181</v>
      </c>
      <c r="O16" s="48" t="s">
        <v>220</v>
      </c>
      <c r="P16" s="48" t="s">
        <v>221</v>
      </c>
    </row>
    <row r="17" spans="1:16" ht="12.75" customHeight="1" thickBot="1" x14ac:dyDescent="0.25">
      <c r="A17" s="10" t="str">
        <f t="shared" si="0"/>
        <v> BBS 69 </v>
      </c>
      <c r="B17" s="5" t="str">
        <f t="shared" si="1"/>
        <v>I</v>
      </c>
      <c r="C17" s="10">
        <f t="shared" si="2"/>
        <v>45603.417000000001</v>
      </c>
      <c r="D17" s="22" t="str">
        <f t="shared" si="3"/>
        <v>vis</v>
      </c>
      <c r="E17" s="45">
        <f>VLOOKUP(C17,Active!C$21:E$972,3,FALSE)</f>
        <v>2959.0066410572363</v>
      </c>
      <c r="F17" s="5" t="s">
        <v>43</v>
      </c>
      <c r="G17" s="22" t="str">
        <f t="shared" si="4"/>
        <v>45603.417</v>
      </c>
      <c r="H17" s="10">
        <f t="shared" si="5"/>
        <v>2959</v>
      </c>
      <c r="I17" s="46" t="s">
        <v>227</v>
      </c>
      <c r="J17" s="47" t="s">
        <v>228</v>
      </c>
      <c r="K17" s="46">
        <v>2959</v>
      </c>
      <c r="L17" s="46" t="s">
        <v>229</v>
      </c>
      <c r="M17" s="47" t="s">
        <v>80</v>
      </c>
      <c r="N17" s="47"/>
      <c r="O17" s="48" t="s">
        <v>230</v>
      </c>
      <c r="P17" s="48" t="s">
        <v>231</v>
      </c>
    </row>
    <row r="18" spans="1:16" ht="12.75" customHeight="1" thickBot="1" x14ac:dyDescent="0.25">
      <c r="A18" s="10" t="str">
        <f t="shared" si="0"/>
        <v> BBS 86 </v>
      </c>
      <c r="B18" s="5" t="str">
        <f t="shared" si="1"/>
        <v>I</v>
      </c>
      <c r="C18" s="10">
        <f t="shared" si="2"/>
        <v>46333.39</v>
      </c>
      <c r="D18" s="22" t="str">
        <f t="shared" si="3"/>
        <v>vis</v>
      </c>
      <c r="E18" s="45">
        <f>VLOOKUP(C18,Active!C$21:E$972,3,FALSE)</f>
        <v>3197.0016862083585</v>
      </c>
      <c r="F18" s="5" t="s">
        <v>43</v>
      </c>
      <c r="G18" s="22" t="str">
        <f t="shared" si="4"/>
        <v>46333.39</v>
      </c>
      <c r="H18" s="10">
        <f t="shared" si="5"/>
        <v>3197</v>
      </c>
      <c r="I18" s="46" t="s">
        <v>232</v>
      </c>
      <c r="J18" s="47" t="s">
        <v>233</v>
      </c>
      <c r="K18" s="46">
        <v>3197</v>
      </c>
      <c r="L18" s="46" t="s">
        <v>174</v>
      </c>
      <c r="M18" s="47" t="s">
        <v>80</v>
      </c>
      <c r="N18" s="47"/>
      <c r="O18" s="48" t="s">
        <v>234</v>
      </c>
      <c r="P18" s="48" t="s">
        <v>235</v>
      </c>
    </row>
    <row r="19" spans="1:16" ht="12.75" customHeight="1" thickBot="1" x14ac:dyDescent="0.25">
      <c r="A19" s="10" t="str">
        <f t="shared" si="0"/>
        <v>IBVS 4108 </v>
      </c>
      <c r="B19" s="5" t="str">
        <f t="shared" si="1"/>
        <v>I</v>
      </c>
      <c r="C19" s="10">
        <f t="shared" si="2"/>
        <v>49308.555699999997</v>
      </c>
      <c r="D19" s="22" t="str">
        <f t="shared" si="3"/>
        <v>vis</v>
      </c>
      <c r="E19" s="45">
        <f>VLOOKUP(C19,Active!C$21:E$972,3,FALSE)</f>
        <v>4167.002898723852</v>
      </c>
      <c r="F19" s="5" t="s">
        <v>43</v>
      </c>
      <c r="G19" s="22" t="str">
        <f t="shared" si="4"/>
        <v>49308.5557</v>
      </c>
      <c r="H19" s="10">
        <f t="shared" si="5"/>
        <v>4167</v>
      </c>
      <c r="I19" s="46" t="s">
        <v>246</v>
      </c>
      <c r="J19" s="47" t="s">
        <v>247</v>
      </c>
      <c r="K19" s="46">
        <v>4167</v>
      </c>
      <c r="L19" s="46" t="s">
        <v>248</v>
      </c>
      <c r="M19" s="47" t="s">
        <v>180</v>
      </c>
      <c r="N19" s="47" t="s">
        <v>249</v>
      </c>
      <c r="O19" s="48" t="s">
        <v>250</v>
      </c>
      <c r="P19" s="49" t="s">
        <v>251</v>
      </c>
    </row>
    <row r="20" spans="1:16" ht="12.75" customHeight="1" thickBot="1" x14ac:dyDescent="0.25">
      <c r="A20" s="10" t="str">
        <f t="shared" si="0"/>
        <v>IBVS 5494 </v>
      </c>
      <c r="B20" s="5" t="str">
        <f t="shared" si="1"/>
        <v>II</v>
      </c>
      <c r="C20" s="10">
        <f t="shared" si="2"/>
        <v>52947.8024</v>
      </c>
      <c r="D20" s="22" t="str">
        <f t="shared" si="3"/>
        <v>vis</v>
      </c>
      <c r="E20" s="45">
        <f>VLOOKUP(C20,Active!C$21:E$972,3,FALSE)</f>
        <v>5353.5162117951259</v>
      </c>
      <c r="F20" s="5" t="s">
        <v>43</v>
      </c>
      <c r="G20" s="22" t="str">
        <f t="shared" si="4"/>
        <v>52947.8024</v>
      </c>
      <c r="H20" s="10">
        <f t="shared" si="5"/>
        <v>5353.5</v>
      </c>
      <c r="I20" s="46" t="s">
        <v>257</v>
      </c>
      <c r="J20" s="47" t="s">
        <v>258</v>
      </c>
      <c r="K20" s="46">
        <v>5353.5</v>
      </c>
      <c r="L20" s="46" t="s">
        <v>259</v>
      </c>
      <c r="M20" s="47" t="s">
        <v>180</v>
      </c>
      <c r="N20" s="47" t="s">
        <v>181</v>
      </c>
      <c r="O20" s="48" t="s">
        <v>260</v>
      </c>
      <c r="P20" s="49" t="s">
        <v>261</v>
      </c>
    </row>
    <row r="21" spans="1:16" ht="12.75" customHeight="1" thickBot="1" x14ac:dyDescent="0.25">
      <c r="A21" s="10" t="str">
        <f t="shared" si="0"/>
        <v>IBVS 5494 </v>
      </c>
      <c r="B21" s="5" t="str">
        <f t="shared" si="1"/>
        <v>I</v>
      </c>
      <c r="C21" s="10">
        <f t="shared" si="2"/>
        <v>52949.297100000003</v>
      </c>
      <c r="D21" s="22" t="str">
        <f t="shared" si="3"/>
        <v>vis</v>
      </c>
      <c r="E21" s="45">
        <f>VLOOKUP(C21,Active!C$21:E$972,3,FALSE)</f>
        <v>5354.0035328247914</v>
      </c>
      <c r="F21" s="5" t="s">
        <v>43</v>
      </c>
      <c r="G21" s="22" t="str">
        <f t="shared" si="4"/>
        <v>52949.2971</v>
      </c>
      <c r="H21" s="10">
        <f t="shared" si="5"/>
        <v>5354</v>
      </c>
      <c r="I21" s="46" t="s">
        <v>262</v>
      </c>
      <c r="J21" s="47" t="s">
        <v>263</v>
      </c>
      <c r="K21" s="46">
        <v>5354</v>
      </c>
      <c r="L21" s="46" t="s">
        <v>264</v>
      </c>
      <c r="M21" s="47" t="s">
        <v>180</v>
      </c>
      <c r="N21" s="47" t="s">
        <v>181</v>
      </c>
      <c r="O21" s="48" t="s">
        <v>260</v>
      </c>
      <c r="P21" s="49" t="s">
        <v>261</v>
      </c>
    </row>
    <row r="22" spans="1:16" ht="12.75" customHeight="1" thickBot="1" x14ac:dyDescent="0.25">
      <c r="A22" s="10" t="str">
        <f t="shared" si="0"/>
        <v>BAVM 183 </v>
      </c>
      <c r="B22" s="5" t="str">
        <f t="shared" si="1"/>
        <v>I</v>
      </c>
      <c r="C22" s="10">
        <f t="shared" si="2"/>
        <v>54096.426399999997</v>
      </c>
      <c r="D22" s="22" t="str">
        <f t="shared" si="3"/>
        <v>vis</v>
      </c>
      <c r="E22" s="45">
        <f>VLOOKUP(C22,Active!C$21:E$972,3,FALSE)</f>
        <v>5728.0051596625981</v>
      </c>
      <c r="F22" s="5" t="s">
        <v>43</v>
      </c>
      <c r="G22" s="22" t="str">
        <f t="shared" si="4"/>
        <v>54096.4264</v>
      </c>
      <c r="H22" s="10">
        <f t="shared" si="5"/>
        <v>5728</v>
      </c>
      <c r="I22" s="46" t="s">
        <v>265</v>
      </c>
      <c r="J22" s="47" t="s">
        <v>266</v>
      </c>
      <c r="K22" s="46">
        <v>5728</v>
      </c>
      <c r="L22" s="46" t="s">
        <v>267</v>
      </c>
      <c r="M22" s="47" t="s">
        <v>268</v>
      </c>
      <c r="N22" s="47" t="s">
        <v>269</v>
      </c>
      <c r="O22" s="48" t="s">
        <v>270</v>
      </c>
      <c r="P22" s="49" t="s">
        <v>271</v>
      </c>
    </row>
    <row r="23" spans="1:16" ht="12.75" customHeight="1" thickBot="1" x14ac:dyDescent="0.25">
      <c r="A23" s="10" t="str">
        <f t="shared" si="0"/>
        <v>BAVM 239 </v>
      </c>
      <c r="B23" s="5" t="str">
        <f t="shared" si="1"/>
        <v>I</v>
      </c>
      <c r="C23" s="10">
        <f t="shared" si="2"/>
        <v>56924.3675</v>
      </c>
      <c r="D23" s="22" t="str">
        <f t="shared" si="3"/>
        <v>vis</v>
      </c>
      <c r="E23" s="45">
        <f>VLOOKUP(C23,Active!C$21:E$972,3,FALSE)</f>
        <v>6650.0063429655665</v>
      </c>
      <c r="F23" s="5" t="s">
        <v>43</v>
      </c>
      <c r="G23" s="22" t="str">
        <f t="shared" si="4"/>
        <v>56924.3675</v>
      </c>
      <c r="H23" s="10">
        <f t="shared" si="5"/>
        <v>6650</v>
      </c>
      <c r="I23" s="46" t="s">
        <v>294</v>
      </c>
      <c r="J23" s="47" t="s">
        <v>295</v>
      </c>
      <c r="K23" s="46" t="s">
        <v>296</v>
      </c>
      <c r="L23" s="46" t="s">
        <v>297</v>
      </c>
      <c r="M23" s="47" t="s">
        <v>268</v>
      </c>
      <c r="N23" s="47" t="s">
        <v>269</v>
      </c>
      <c r="O23" s="48" t="s">
        <v>240</v>
      </c>
      <c r="P23" s="49" t="s">
        <v>298</v>
      </c>
    </row>
    <row r="24" spans="1:16" ht="12.75" customHeight="1" thickBot="1" x14ac:dyDescent="0.25">
      <c r="A24" s="10" t="str">
        <f t="shared" si="0"/>
        <v> AN 222.141 </v>
      </c>
      <c r="B24" s="5" t="str">
        <f t="shared" si="1"/>
        <v>I</v>
      </c>
      <c r="C24" s="10">
        <f t="shared" si="2"/>
        <v>23369.418000000001</v>
      </c>
      <c r="D24" s="22" t="str">
        <f t="shared" si="3"/>
        <v>vis</v>
      </c>
      <c r="E24" s="45">
        <f>VLOOKUP(C24,Active!C$21:E$972,3,FALSE)</f>
        <v>-4290.0033851971966</v>
      </c>
      <c r="F24" s="5" t="s">
        <v>43</v>
      </c>
      <c r="G24" s="22" t="str">
        <f t="shared" si="4"/>
        <v>23369.418</v>
      </c>
      <c r="H24" s="10">
        <f t="shared" si="5"/>
        <v>-4290</v>
      </c>
      <c r="I24" s="46" t="s">
        <v>77</v>
      </c>
      <c r="J24" s="47" t="s">
        <v>78</v>
      </c>
      <c r="K24" s="46">
        <v>-4290</v>
      </c>
      <c r="L24" s="46" t="s">
        <v>79</v>
      </c>
      <c r="M24" s="47" t="s">
        <v>80</v>
      </c>
      <c r="N24" s="47"/>
      <c r="O24" s="48" t="s">
        <v>81</v>
      </c>
      <c r="P24" s="48" t="s">
        <v>82</v>
      </c>
    </row>
    <row r="25" spans="1:16" ht="12.75" customHeight="1" thickBot="1" x14ac:dyDescent="0.25">
      <c r="A25" s="10" t="str">
        <f t="shared" si="0"/>
        <v> AN 222.141 </v>
      </c>
      <c r="B25" s="5" t="str">
        <f t="shared" si="1"/>
        <v>I</v>
      </c>
      <c r="C25" s="10">
        <f t="shared" si="2"/>
        <v>23501.32</v>
      </c>
      <c r="D25" s="22" t="str">
        <f t="shared" si="3"/>
        <v>vis</v>
      </c>
      <c r="E25" s="45">
        <f>VLOOKUP(C25,Active!C$21:E$972,3,FALSE)</f>
        <v>-4246.9990241516198</v>
      </c>
      <c r="F25" s="5" t="s">
        <v>43</v>
      </c>
      <c r="G25" s="22" t="str">
        <f t="shared" si="4"/>
        <v>23501.320</v>
      </c>
      <c r="H25" s="10">
        <f t="shared" si="5"/>
        <v>-4247</v>
      </c>
      <c r="I25" s="46" t="s">
        <v>83</v>
      </c>
      <c r="J25" s="47" t="s">
        <v>84</v>
      </c>
      <c r="K25" s="46">
        <v>-4247</v>
      </c>
      <c r="L25" s="46" t="s">
        <v>85</v>
      </c>
      <c r="M25" s="47" t="s">
        <v>80</v>
      </c>
      <c r="N25" s="47"/>
      <c r="O25" s="48" t="s">
        <v>81</v>
      </c>
      <c r="P25" s="48" t="s">
        <v>82</v>
      </c>
    </row>
    <row r="26" spans="1:16" ht="12.75" customHeight="1" thickBot="1" x14ac:dyDescent="0.25">
      <c r="A26" s="10" t="str">
        <f t="shared" si="0"/>
        <v> AN 222.141 </v>
      </c>
      <c r="B26" s="5" t="str">
        <f t="shared" si="1"/>
        <v>I</v>
      </c>
      <c r="C26" s="10">
        <f t="shared" si="2"/>
        <v>23504.383999999998</v>
      </c>
      <c r="D26" s="22" t="str">
        <f t="shared" si="3"/>
        <v>vis</v>
      </c>
      <c r="E26" s="45">
        <f>VLOOKUP(C26,Active!C$21:E$972,3,FALSE)</f>
        <v>-4246.0000600552175</v>
      </c>
      <c r="F26" s="5" t="s">
        <v>43</v>
      </c>
      <c r="G26" s="22" t="str">
        <f t="shared" si="4"/>
        <v>23504.384</v>
      </c>
      <c r="H26" s="10">
        <f t="shared" si="5"/>
        <v>-4246</v>
      </c>
      <c r="I26" s="46" t="s">
        <v>86</v>
      </c>
      <c r="J26" s="47" t="s">
        <v>87</v>
      </c>
      <c r="K26" s="46">
        <v>-4246</v>
      </c>
      <c r="L26" s="46" t="s">
        <v>88</v>
      </c>
      <c r="M26" s="47" t="s">
        <v>80</v>
      </c>
      <c r="N26" s="47"/>
      <c r="O26" s="48" t="s">
        <v>81</v>
      </c>
      <c r="P26" s="48" t="s">
        <v>82</v>
      </c>
    </row>
    <row r="27" spans="1:16" ht="12.75" customHeight="1" thickBot="1" x14ac:dyDescent="0.25">
      <c r="A27" s="10" t="str">
        <f t="shared" si="0"/>
        <v> AN 222.141 </v>
      </c>
      <c r="B27" s="5" t="str">
        <f t="shared" si="1"/>
        <v>I</v>
      </c>
      <c r="C27" s="10">
        <f t="shared" si="2"/>
        <v>23642.407999999999</v>
      </c>
      <c r="D27" s="22" t="str">
        <f t="shared" si="3"/>
        <v>vis</v>
      </c>
      <c r="E27" s="45">
        <f>VLOOKUP(C27,Active!C$21:E$972,3,FALSE)</f>
        <v>-4200.9997270128461</v>
      </c>
      <c r="F27" s="5" t="s">
        <v>43</v>
      </c>
      <c r="G27" s="22" t="str">
        <f t="shared" si="4"/>
        <v>23642.408</v>
      </c>
      <c r="H27" s="10">
        <f t="shared" si="5"/>
        <v>-4201</v>
      </c>
      <c r="I27" s="46" t="s">
        <v>89</v>
      </c>
      <c r="J27" s="47" t="s">
        <v>90</v>
      </c>
      <c r="K27" s="46">
        <v>-4201</v>
      </c>
      <c r="L27" s="46" t="s">
        <v>91</v>
      </c>
      <c r="M27" s="47" t="s">
        <v>80</v>
      </c>
      <c r="N27" s="47"/>
      <c r="O27" s="48" t="s">
        <v>81</v>
      </c>
      <c r="P27" s="48" t="s">
        <v>82</v>
      </c>
    </row>
    <row r="28" spans="1:16" ht="12.75" customHeight="1" thickBot="1" x14ac:dyDescent="0.25">
      <c r="A28" s="10" t="str">
        <f t="shared" si="0"/>
        <v> IODE 4.1.177 </v>
      </c>
      <c r="B28" s="5" t="str">
        <f t="shared" si="1"/>
        <v>I</v>
      </c>
      <c r="C28" s="10">
        <f t="shared" si="2"/>
        <v>23694.554</v>
      </c>
      <c r="D28" s="22" t="str">
        <f t="shared" si="3"/>
        <v>vis</v>
      </c>
      <c r="E28" s="45">
        <f>VLOOKUP(C28,Active!C$21:E$972,3,FALSE)</f>
        <v>-4183.9984274792323</v>
      </c>
      <c r="F28" s="5" t="s">
        <v>43</v>
      </c>
      <c r="G28" s="22" t="str">
        <f t="shared" si="4"/>
        <v>23694.554</v>
      </c>
      <c r="H28" s="10">
        <f t="shared" si="5"/>
        <v>-4184</v>
      </c>
      <c r="I28" s="46" t="s">
        <v>92</v>
      </c>
      <c r="J28" s="47" t="s">
        <v>93</v>
      </c>
      <c r="K28" s="46">
        <v>-4184</v>
      </c>
      <c r="L28" s="46" t="s">
        <v>94</v>
      </c>
      <c r="M28" s="47" t="s">
        <v>80</v>
      </c>
      <c r="N28" s="47"/>
      <c r="O28" s="48" t="s">
        <v>95</v>
      </c>
      <c r="P28" s="48" t="s">
        <v>96</v>
      </c>
    </row>
    <row r="29" spans="1:16" ht="12.75" customHeight="1" thickBot="1" x14ac:dyDescent="0.25">
      <c r="A29" s="10" t="str">
        <f t="shared" si="0"/>
        <v> AN 222.141 </v>
      </c>
      <c r="B29" s="5" t="str">
        <f t="shared" si="1"/>
        <v>I</v>
      </c>
      <c r="C29" s="10">
        <f t="shared" si="2"/>
        <v>23774.32</v>
      </c>
      <c r="D29" s="22" t="str">
        <f t="shared" si="3"/>
        <v>vis</v>
      </c>
      <c r="E29" s="45">
        <f>VLOOKUP(C29,Active!C$21:E$972,3,FALSE)</f>
        <v>-4157.9921056405838</v>
      </c>
      <c r="F29" s="5" t="s">
        <v>43</v>
      </c>
      <c r="G29" s="22" t="str">
        <f t="shared" si="4"/>
        <v>23774.320</v>
      </c>
      <c r="H29" s="10">
        <f t="shared" si="5"/>
        <v>-4158</v>
      </c>
      <c r="I29" s="46" t="s">
        <v>97</v>
      </c>
      <c r="J29" s="47" t="s">
        <v>98</v>
      </c>
      <c r="K29" s="46">
        <v>-4158</v>
      </c>
      <c r="L29" s="46" t="s">
        <v>99</v>
      </c>
      <c r="M29" s="47" t="s">
        <v>80</v>
      </c>
      <c r="N29" s="47"/>
      <c r="O29" s="48" t="s">
        <v>81</v>
      </c>
      <c r="P29" s="48" t="s">
        <v>82</v>
      </c>
    </row>
    <row r="30" spans="1:16" ht="12.75" customHeight="1" thickBot="1" x14ac:dyDescent="0.25">
      <c r="A30" s="10" t="str">
        <f t="shared" si="0"/>
        <v> AN 222.141 </v>
      </c>
      <c r="B30" s="5" t="str">
        <f t="shared" si="1"/>
        <v>I</v>
      </c>
      <c r="C30" s="10">
        <f t="shared" si="2"/>
        <v>23826.438999999998</v>
      </c>
      <c r="D30" s="22" t="str">
        <f t="shared" si="3"/>
        <v>vis</v>
      </c>
      <c r="E30" s="45">
        <f>VLOOKUP(C30,Active!C$21:E$972,3,FALSE)</f>
        <v>-4140.999608989021</v>
      </c>
      <c r="F30" s="5" t="s">
        <v>43</v>
      </c>
      <c r="G30" s="22" t="str">
        <f t="shared" si="4"/>
        <v>23826.439</v>
      </c>
      <c r="H30" s="10">
        <f t="shared" si="5"/>
        <v>-4141</v>
      </c>
      <c r="I30" s="46" t="s">
        <v>100</v>
      </c>
      <c r="J30" s="47" t="s">
        <v>101</v>
      </c>
      <c r="K30" s="46">
        <v>-4141</v>
      </c>
      <c r="L30" s="46" t="s">
        <v>91</v>
      </c>
      <c r="M30" s="47" t="s">
        <v>80</v>
      </c>
      <c r="N30" s="47"/>
      <c r="O30" s="48" t="s">
        <v>81</v>
      </c>
      <c r="P30" s="48" t="s">
        <v>82</v>
      </c>
    </row>
    <row r="31" spans="1:16" ht="12.75" customHeight="1" thickBot="1" x14ac:dyDescent="0.25">
      <c r="A31" s="10" t="str">
        <f t="shared" si="0"/>
        <v> AN 222.141 </v>
      </c>
      <c r="B31" s="5" t="str">
        <f t="shared" si="1"/>
        <v>I</v>
      </c>
      <c r="C31" s="10">
        <f t="shared" si="2"/>
        <v>23872.462</v>
      </c>
      <c r="D31" s="22" t="str">
        <f t="shared" si="3"/>
        <v>vis</v>
      </c>
      <c r="E31" s="45">
        <f>VLOOKUP(C31,Active!C$21:E$972,3,FALSE)</f>
        <v>-4125.9946074848685</v>
      </c>
      <c r="F31" s="5" t="s">
        <v>43</v>
      </c>
      <c r="G31" s="22" t="str">
        <f t="shared" si="4"/>
        <v>23872.462</v>
      </c>
      <c r="H31" s="10">
        <f t="shared" si="5"/>
        <v>-4126</v>
      </c>
      <c r="I31" s="46" t="s">
        <v>102</v>
      </c>
      <c r="J31" s="47" t="s">
        <v>103</v>
      </c>
      <c r="K31" s="46">
        <v>-4126</v>
      </c>
      <c r="L31" s="46" t="s">
        <v>104</v>
      </c>
      <c r="M31" s="47" t="s">
        <v>80</v>
      </c>
      <c r="N31" s="47"/>
      <c r="O31" s="48" t="s">
        <v>81</v>
      </c>
      <c r="P31" s="48" t="s">
        <v>82</v>
      </c>
    </row>
    <row r="32" spans="1:16" ht="12.75" customHeight="1" thickBot="1" x14ac:dyDescent="0.25">
      <c r="A32" s="10" t="str">
        <f t="shared" si="0"/>
        <v> AAB 2.33 </v>
      </c>
      <c r="B32" s="5" t="str">
        <f t="shared" si="1"/>
        <v>I</v>
      </c>
      <c r="C32" s="10">
        <f t="shared" si="2"/>
        <v>24237.433000000001</v>
      </c>
      <c r="D32" s="22" t="str">
        <f t="shared" si="3"/>
        <v>vis</v>
      </c>
      <c r="E32" s="45">
        <f>VLOOKUP(C32,Active!C$21:E$972,3,FALSE)</f>
        <v>-4007.0021384156689</v>
      </c>
      <c r="F32" s="5" t="s">
        <v>43</v>
      </c>
      <c r="G32" s="22" t="str">
        <f t="shared" si="4"/>
        <v>24237.433</v>
      </c>
      <c r="H32" s="10">
        <f t="shared" si="5"/>
        <v>-4007</v>
      </c>
      <c r="I32" s="46" t="s">
        <v>105</v>
      </c>
      <c r="J32" s="47" t="s">
        <v>106</v>
      </c>
      <c r="K32" s="46">
        <v>-4007</v>
      </c>
      <c r="L32" s="46" t="s">
        <v>107</v>
      </c>
      <c r="M32" s="47" t="s">
        <v>80</v>
      </c>
      <c r="N32" s="47"/>
      <c r="O32" s="48" t="s">
        <v>108</v>
      </c>
      <c r="P32" s="48" t="s">
        <v>109</v>
      </c>
    </row>
    <row r="33" spans="1:16" ht="12.75" customHeight="1" thickBot="1" x14ac:dyDescent="0.25">
      <c r="A33" s="10" t="str">
        <f t="shared" si="0"/>
        <v> AAB 2.33 </v>
      </c>
      <c r="B33" s="5" t="str">
        <f t="shared" si="1"/>
        <v>I</v>
      </c>
      <c r="C33" s="10">
        <f t="shared" si="2"/>
        <v>24243.559000000001</v>
      </c>
      <c r="D33" s="22" t="str">
        <f t="shared" si="3"/>
        <v>vis</v>
      </c>
      <c r="E33" s="45">
        <f>VLOOKUP(C33,Active!C$21:E$972,3,FALSE)</f>
        <v>-4005.0048622882014</v>
      </c>
      <c r="F33" s="5" t="s">
        <v>43</v>
      </c>
      <c r="G33" s="22" t="str">
        <f t="shared" si="4"/>
        <v>24243.559</v>
      </c>
      <c r="H33" s="10">
        <f t="shared" si="5"/>
        <v>-4005</v>
      </c>
      <c r="I33" s="46" t="s">
        <v>110</v>
      </c>
      <c r="J33" s="47" t="s">
        <v>111</v>
      </c>
      <c r="K33" s="46">
        <v>-4005</v>
      </c>
      <c r="L33" s="46" t="s">
        <v>112</v>
      </c>
      <c r="M33" s="47" t="s">
        <v>80</v>
      </c>
      <c r="N33" s="47"/>
      <c r="O33" s="48" t="s">
        <v>108</v>
      </c>
      <c r="P33" s="48" t="s">
        <v>109</v>
      </c>
    </row>
    <row r="34" spans="1:16" ht="12.75" customHeight="1" thickBot="1" x14ac:dyDescent="0.25">
      <c r="A34" s="10" t="str">
        <f t="shared" si="0"/>
        <v> AAB 2.33 </v>
      </c>
      <c r="B34" s="5" t="str">
        <f t="shared" si="1"/>
        <v>I</v>
      </c>
      <c r="C34" s="10">
        <f t="shared" si="2"/>
        <v>24289.603999999999</v>
      </c>
      <c r="D34" s="22" t="str">
        <f t="shared" si="3"/>
        <v>vis</v>
      </c>
      <c r="E34" s="45">
        <f>VLOOKUP(C34,Active!C$21:E$972,3,FALSE)</f>
        <v>-3989.9926880653425</v>
      </c>
      <c r="F34" s="5" t="s">
        <v>43</v>
      </c>
      <c r="G34" s="22" t="str">
        <f t="shared" si="4"/>
        <v>24289.604</v>
      </c>
      <c r="H34" s="10">
        <f t="shared" si="5"/>
        <v>-3990</v>
      </c>
      <c r="I34" s="46" t="s">
        <v>113</v>
      </c>
      <c r="J34" s="47" t="s">
        <v>114</v>
      </c>
      <c r="K34" s="46">
        <v>-3990</v>
      </c>
      <c r="L34" s="46" t="s">
        <v>115</v>
      </c>
      <c r="M34" s="47" t="s">
        <v>80</v>
      </c>
      <c r="N34" s="47"/>
      <c r="O34" s="48" t="s">
        <v>108</v>
      </c>
      <c r="P34" s="48" t="s">
        <v>109</v>
      </c>
    </row>
    <row r="35" spans="1:16" ht="12.75" customHeight="1" thickBot="1" x14ac:dyDescent="0.25">
      <c r="A35" s="10" t="str">
        <f t="shared" si="0"/>
        <v> AAB 2.33 </v>
      </c>
      <c r="B35" s="5" t="str">
        <f t="shared" si="1"/>
        <v>I</v>
      </c>
      <c r="C35" s="10">
        <f t="shared" si="2"/>
        <v>24648.435000000001</v>
      </c>
      <c r="D35" s="22" t="str">
        <f t="shared" si="3"/>
        <v>vis</v>
      </c>
      <c r="E35" s="45">
        <f>VLOOKUP(C35,Active!C$21:E$972,3,FALSE)</f>
        <v>-3873.0020595809697</v>
      </c>
      <c r="F35" s="5" t="s">
        <v>43</v>
      </c>
      <c r="G35" s="22" t="str">
        <f t="shared" si="4"/>
        <v>24648.435</v>
      </c>
      <c r="H35" s="10">
        <f t="shared" si="5"/>
        <v>-3873</v>
      </c>
      <c r="I35" s="46" t="s">
        <v>116</v>
      </c>
      <c r="J35" s="47" t="s">
        <v>117</v>
      </c>
      <c r="K35" s="46">
        <v>-3873</v>
      </c>
      <c r="L35" s="46" t="s">
        <v>118</v>
      </c>
      <c r="M35" s="47" t="s">
        <v>80</v>
      </c>
      <c r="N35" s="47"/>
      <c r="O35" s="48" t="s">
        <v>108</v>
      </c>
      <c r="P35" s="48" t="s">
        <v>109</v>
      </c>
    </row>
    <row r="36" spans="1:16" ht="12.75" customHeight="1" thickBot="1" x14ac:dyDescent="0.25">
      <c r="A36" s="10" t="str">
        <f t="shared" si="0"/>
        <v> AAB 2.33 </v>
      </c>
      <c r="B36" s="5" t="str">
        <f t="shared" si="1"/>
        <v>I</v>
      </c>
      <c r="C36" s="10">
        <f t="shared" si="2"/>
        <v>25326.282999999999</v>
      </c>
      <c r="D36" s="22" t="str">
        <f t="shared" si="3"/>
        <v>vis</v>
      </c>
      <c r="E36" s="45">
        <f>VLOOKUP(C36,Active!C$21:E$972,3,FALSE)</f>
        <v>-3652.0014672774214</v>
      </c>
      <c r="F36" s="5" t="s">
        <v>43</v>
      </c>
      <c r="G36" s="22" t="str">
        <f t="shared" si="4"/>
        <v>25326.283</v>
      </c>
      <c r="H36" s="10">
        <f t="shared" si="5"/>
        <v>-3652</v>
      </c>
      <c r="I36" s="46" t="s">
        <v>119</v>
      </c>
      <c r="J36" s="47" t="s">
        <v>120</v>
      </c>
      <c r="K36" s="46">
        <v>-3652</v>
      </c>
      <c r="L36" s="46" t="s">
        <v>121</v>
      </c>
      <c r="M36" s="47" t="s">
        <v>80</v>
      </c>
      <c r="N36" s="47"/>
      <c r="O36" s="48" t="s">
        <v>108</v>
      </c>
      <c r="P36" s="48" t="s">
        <v>109</v>
      </c>
    </row>
    <row r="37" spans="1:16" ht="12.75" customHeight="1" thickBot="1" x14ac:dyDescent="0.25">
      <c r="A37" s="10" t="str">
        <f t="shared" si="0"/>
        <v> HB 900.13 </v>
      </c>
      <c r="B37" s="5" t="str">
        <f t="shared" si="1"/>
        <v>I</v>
      </c>
      <c r="C37" s="10">
        <f t="shared" si="2"/>
        <v>25326.284</v>
      </c>
      <c r="D37" s="22" t="str">
        <f t="shared" si="3"/>
        <v>vis</v>
      </c>
      <c r="E37" s="45">
        <f>VLOOKUP(C37,Active!C$21:E$972,3,FALSE)</f>
        <v>-3652.0011412447525</v>
      </c>
      <c r="F37" s="5" t="s">
        <v>43</v>
      </c>
      <c r="G37" s="22" t="str">
        <f t="shared" si="4"/>
        <v>25326.284</v>
      </c>
      <c r="H37" s="10">
        <f t="shared" si="5"/>
        <v>-3652</v>
      </c>
      <c r="I37" s="46" t="s">
        <v>122</v>
      </c>
      <c r="J37" s="47" t="s">
        <v>123</v>
      </c>
      <c r="K37" s="46">
        <v>-3652</v>
      </c>
      <c r="L37" s="46" t="s">
        <v>124</v>
      </c>
      <c r="M37" s="47" t="s">
        <v>76</v>
      </c>
      <c r="N37" s="47"/>
      <c r="O37" s="48" t="s">
        <v>125</v>
      </c>
      <c r="P37" s="48" t="s">
        <v>126</v>
      </c>
    </row>
    <row r="38" spans="1:16" ht="12.75" customHeight="1" thickBot="1" x14ac:dyDescent="0.25">
      <c r="A38" s="10" t="str">
        <f t="shared" si="0"/>
        <v> CPRI 18.10 </v>
      </c>
      <c r="B38" s="5" t="str">
        <f t="shared" si="1"/>
        <v>I</v>
      </c>
      <c r="C38" s="10">
        <f t="shared" si="2"/>
        <v>25326.286</v>
      </c>
      <c r="D38" s="22" t="str">
        <f t="shared" si="3"/>
        <v>vis</v>
      </c>
      <c r="E38" s="45">
        <f>VLOOKUP(C38,Active!C$21:E$972,3,FALSE)</f>
        <v>-3652.0004891794156</v>
      </c>
      <c r="F38" s="5" t="s">
        <v>43</v>
      </c>
      <c r="G38" s="22" t="str">
        <f t="shared" si="4"/>
        <v>25326.286</v>
      </c>
      <c r="H38" s="10">
        <f t="shared" si="5"/>
        <v>-3652</v>
      </c>
      <c r="I38" s="46" t="s">
        <v>127</v>
      </c>
      <c r="J38" s="47" t="s">
        <v>128</v>
      </c>
      <c r="K38" s="46">
        <v>-3652</v>
      </c>
      <c r="L38" s="46" t="s">
        <v>129</v>
      </c>
      <c r="M38" s="47" t="s">
        <v>80</v>
      </c>
      <c r="N38" s="47"/>
      <c r="O38" s="48" t="s">
        <v>130</v>
      </c>
      <c r="P38" s="48" t="s">
        <v>131</v>
      </c>
    </row>
    <row r="39" spans="1:16" ht="12.75" customHeight="1" thickBot="1" x14ac:dyDescent="0.25">
      <c r="A39" s="10" t="str">
        <f t="shared" si="0"/>
        <v> AAB 2.33 </v>
      </c>
      <c r="B39" s="5" t="str">
        <f t="shared" si="1"/>
        <v>I</v>
      </c>
      <c r="C39" s="10">
        <f t="shared" si="2"/>
        <v>25332.43</v>
      </c>
      <c r="D39" s="22" t="str">
        <f t="shared" si="3"/>
        <v>vis</v>
      </c>
      <c r="E39" s="45">
        <f>VLOOKUP(C39,Active!C$21:E$972,3,FALSE)</f>
        <v>-3649.9973444639145</v>
      </c>
      <c r="F39" s="5" t="s">
        <v>43</v>
      </c>
      <c r="G39" s="22" t="str">
        <f t="shared" si="4"/>
        <v>25332.430</v>
      </c>
      <c r="H39" s="10">
        <f t="shared" si="5"/>
        <v>-3650</v>
      </c>
      <c r="I39" s="46" t="s">
        <v>132</v>
      </c>
      <c r="J39" s="47" t="s">
        <v>133</v>
      </c>
      <c r="K39" s="46">
        <v>-3650</v>
      </c>
      <c r="L39" s="46" t="s">
        <v>134</v>
      </c>
      <c r="M39" s="47" t="s">
        <v>80</v>
      </c>
      <c r="N39" s="47"/>
      <c r="O39" s="48" t="s">
        <v>135</v>
      </c>
      <c r="P39" s="48" t="s">
        <v>109</v>
      </c>
    </row>
    <row r="40" spans="1:16" ht="12.75" customHeight="1" thickBot="1" x14ac:dyDescent="0.25">
      <c r="A40" s="10" t="str">
        <f t="shared" si="0"/>
        <v> AAB 2.33 </v>
      </c>
      <c r="B40" s="5" t="str">
        <f t="shared" si="1"/>
        <v>I</v>
      </c>
      <c r="C40" s="10">
        <f t="shared" si="2"/>
        <v>25559.382000000001</v>
      </c>
      <c r="D40" s="22" t="str">
        <f t="shared" si="3"/>
        <v>vis</v>
      </c>
      <c r="E40" s="45">
        <f>VLOOKUP(C40,Active!C$21:E$972,3,FALSE)</f>
        <v>-3576.0035782737427</v>
      </c>
      <c r="F40" s="5" t="s">
        <v>43</v>
      </c>
      <c r="G40" s="22" t="str">
        <f t="shared" si="4"/>
        <v>25559.382</v>
      </c>
      <c r="H40" s="10">
        <f t="shared" si="5"/>
        <v>-3576</v>
      </c>
      <c r="I40" s="46" t="s">
        <v>136</v>
      </c>
      <c r="J40" s="47" t="s">
        <v>137</v>
      </c>
      <c r="K40" s="46">
        <v>-3576</v>
      </c>
      <c r="L40" s="46" t="s">
        <v>138</v>
      </c>
      <c r="M40" s="47" t="s">
        <v>80</v>
      </c>
      <c r="N40" s="47"/>
      <c r="O40" s="48" t="s">
        <v>108</v>
      </c>
      <c r="P40" s="48" t="s">
        <v>109</v>
      </c>
    </row>
    <row r="41" spans="1:16" ht="12.75" customHeight="1" thickBot="1" x14ac:dyDescent="0.25">
      <c r="A41" s="10" t="str">
        <f t="shared" si="0"/>
        <v> AAB 2.33 </v>
      </c>
      <c r="B41" s="5" t="str">
        <f t="shared" si="1"/>
        <v>I</v>
      </c>
      <c r="C41" s="10">
        <f t="shared" si="2"/>
        <v>25743.411</v>
      </c>
      <c r="D41" s="22" t="str">
        <f t="shared" si="3"/>
        <v>vis</v>
      </c>
      <c r="E41" s="45">
        <f>VLOOKUP(C41,Active!C$21:E$972,3,FALSE)</f>
        <v>-3516.0041123152546</v>
      </c>
      <c r="F41" s="5" t="s">
        <v>43</v>
      </c>
      <c r="G41" s="22" t="str">
        <f t="shared" si="4"/>
        <v>25743.411</v>
      </c>
      <c r="H41" s="10">
        <f t="shared" si="5"/>
        <v>-3516</v>
      </c>
      <c r="I41" s="46" t="s">
        <v>139</v>
      </c>
      <c r="J41" s="47" t="s">
        <v>140</v>
      </c>
      <c r="K41" s="46">
        <v>-3516</v>
      </c>
      <c r="L41" s="46" t="s">
        <v>141</v>
      </c>
      <c r="M41" s="47" t="s">
        <v>80</v>
      </c>
      <c r="N41" s="47"/>
      <c r="O41" s="48" t="s">
        <v>108</v>
      </c>
      <c r="P41" s="48" t="s">
        <v>109</v>
      </c>
    </row>
    <row r="42" spans="1:16" ht="12.75" customHeight="1" thickBot="1" x14ac:dyDescent="0.25">
      <c r="A42" s="10" t="str">
        <f t="shared" si="0"/>
        <v> AAB 2.33 </v>
      </c>
      <c r="B42" s="5" t="str">
        <f t="shared" si="1"/>
        <v>I</v>
      </c>
      <c r="C42" s="10">
        <f t="shared" si="2"/>
        <v>25841.553</v>
      </c>
      <c r="D42" s="22" t="str">
        <f t="shared" si="3"/>
        <v>vis</v>
      </c>
      <c r="E42" s="45">
        <f>VLOOKUP(C42,Active!C$21:E$972,3,FALSE)</f>
        <v>-3484.0066141595398</v>
      </c>
      <c r="F42" s="5" t="s">
        <v>43</v>
      </c>
      <c r="G42" s="22" t="str">
        <f t="shared" si="4"/>
        <v>25841.553</v>
      </c>
      <c r="H42" s="10">
        <f t="shared" si="5"/>
        <v>-3484</v>
      </c>
      <c r="I42" s="46" t="s">
        <v>142</v>
      </c>
      <c r="J42" s="47" t="s">
        <v>143</v>
      </c>
      <c r="K42" s="46">
        <v>-3484</v>
      </c>
      <c r="L42" s="46" t="s">
        <v>144</v>
      </c>
      <c r="M42" s="47" t="s">
        <v>80</v>
      </c>
      <c r="N42" s="47"/>
      <c r="O42" s="48" t="s">
        <v>108</v>
      </c>
      <c r="P42" s="48" t="s">
        <v>109</v>
      </c>
    </row>
    <row r="43" spans="1:16" ht="12.75" customHeight="1" thickBot="1" x14ac:dyDescent="0.25">
      <c r="A43" s="10" t="str">
        <f t="shared" ref="A43:A67" si="6">P43</f>
        <v> AAB 2.33 </v>
      </c>
      <c r="B43" s="5" t="str">
        <f t="shared" ref="B43:B67" si="7">IF(H43=INT(H43),"I","II")</f>
        <v>I</v>
      </c>
      <c r="C43" s="10">
        <f t="shared" ref="C43:C67" si="8">1*G43</f>
        <v>25881.444</v>
      </c>
      <c r="D43" s="22" t="str">
        <f t="shared" ref="D43:D67" si="9">VLOOKUP(F43,I$1:J$5,2,FALSE)</f>
        <v>vis</v>
      </c>
      <c r="E43" s="45">
        <f>VLOOKUP(C43,Active!C$21:E$972,3,FALSE)</f>
        <v>-3471.000844978867</v>
      </c>
      <c r="F43" s="5" t="s">
        <v>43</v>
      </c>
      <c r="G43" s="22" t="str">
        <f t="shared" ref="G43:G67" si="10">MID(I43,3,LEN(I43)-3)</f>
        <v>25881.444</v>
      </c>
      <c r="H43" s="10">
        <f t="shared" ref="H43:H67" si="11">1*K43</f>
        <v>-3471</v>
      </c>
      <c r="I43" s="46" t="s">
        <v>145</v>
      </c>
      <c r="J43" s="47" t="s">
        <v>146</v>
      </c>
      <c r="K43" s="46">
        <v>-3471</v>
      </c>
      <c r="L43" s="46" t="s">
        <v>75</v>
      </c>
      <c r="M43" s="47" t="s">
        <v>80</v>
      </c>
      <c r="N43" s="47"/>
      <c r="O43" s="48" t="s">
        <v>108</v>
      </c>
      <c r="P43" s="48" t="s">
        <v>109</v>
      </c>
    </row>
    <row r="44" spans="1:16" ht="12.75" customHeight="1" thickBot="1" x14ac:dyDescent="0.25">
      <c r="A44" s="10" t="str">
        <f t="shared" si="6"/>
        <v> AAB 2.33 </v>
      </c>
      <c r="B44" s="5" t="str">
        <f t="shared" si="7"/>
        <v>I</v>
      </c>
      <c r="C44" s="10">
        <f t="shared" si="8"/>
        <v>26114.55</v>
      </c>
      <c r="D44" s="22" t="str">
        <f t="shared" si="9"/>
        <v>vis</v>
      </c>
      <c r="E44" s="45">
        <f>VLOOKUP(C44,Active!C$21:E$972,3,FALSE)</f>
        <v>-3395.0006737465092</v>
      </c>
      <c r="F44" s="5" t="s">
        <v>43</v>
      </c>
      <c r="G44" s="22" t="str">
        <f t="shared" si="10"/>
        <v>26114.550</v>
      </c>
      <c r="H44" s="10">
        <f t="shared" si="11"/>
        <v>-3395</v>
      </c>
      <c r="I44" s="46" t="s">
        <v>147</v>
      </c>
      <c r="J44" s="47" t="s">
        <v>148</v>
      </c>
      <c r="K44" s="46">
        <v>-3395</v>
      </c>
      <c r="L44" s="46" t="s">
        <v>129</v>
      </c>
      <c r="M44" s="47" t="s">
        <v>80</v>
      </c>
      <c r="N44" s="47"/>
      <c r="O44" s="48" t="s">
        <v>108</v>
      </c>
      <c r="P44" s="48" t="s">
        <v>109</v>
      </c>
    </row>
    <row r="45" spans="1:16" ht="12.75" customHeight="1" thickBot="1" x14ac:dyDescent="0.25">
      <c r="A45" s="10" t="str">
        <f t="shared" si="6"/>
        <v> AAB 2.33 </v>
      </c>
      <c r="B45" s="5" t="str">
        <f t="shared" si="7"/>
        <v>I</v>
      </c>
      <c r="C45" s="10">
        <f t="shared" si="8"/>
        <v>26160.579000000002</v>
      </c>
      <c r="D45" s="22" t="str">
        <f t="shared" si="9"/>
        <v>vis</v>
      </c>
      <c r="E45" s="45">
        <f>VLOOKUP(C45,Active!C$21:E$972,3,FALSE)</f>
        <v>-3379.9937160463455</v>
      </c>
      <c r="F45" s="5" t="s">
        <v>43</v>
      </c>
      <c r="G45" s="22" t="str">
        <f t="shared" si="10"/>
        <v>26160.579</v>
      </c>
      <c r="H45" s="10">
        <f t="shared" si="11"/>
        <v>-3380</v>
      </c>
      <c r="I45" s="46" t="s">
        <v>149</v>
      </c>
      <c r="J45" s="47" t="s">
        <v>150</v>
      </c>
      <c r="K45" s="46">
        <v>-3380</v>
      </c>
      <c r="L45" s="46" t="s">
        <v>151</v>
      </c>
      <c r="M45" s="47" t="s">
        <v>80</v>
      </c>
      <c r="N45" s="47"/>
      <c r="O45" s="48" t="s">
        <v>108</v>
      </c>
      <c r="P45" s="48" t="s">
        <v>109</v>
      </c>
    </row>
    <row r="46" spans="1:16" ht="12.75" customHeight="1" thickBot="1" x14ac:dyDescent="0.25">
      <c r="A46" s="10" t="str">
        <f t="shared" si="6"/>
        <v> AAB 2.33 </v>
      </c>
      <c r="B46" s="5" t="str">
        <f t="shared" si="7"/>
        <v>I</v>
      </c>
      <c r="C46" s="10">
        <f t="shared" si="8"/>
        <v>26473.399000000001</v>
      </c>
      <c r="D46" s="22" t="str">
        <f t="shared" si="9"/>
        <v>vis</v>
      </c>
      <c r="E46" s="45">
        <f>VLOOKUP(C46,Active!C$21:E$972,3,FALSE)</f>
        <v>-3278.0041766741028</v>
      </c>
      <c r="F46" s="5" t="s">
        <v>43</v>
      </c>
      <c r="G46" s="22" t="str">
        <f t="shared" si="10"/>
        <v>26473.399</v>
      </c>
      <c r="H46" s="10">
        <f t="shared" si="11"/>
        <v>-3278</v>
      </c>
      <c r="I46" s="46" t="s">
        <v>152</v>
      </c>
      <c r="J46" s="47" t="s">
        <v>153</v>
      </c>
      <c r="K46" s="46">
        <v>-3278</v>
      </c>
      <c r="L46" s="46" t="s">
        <v>141</v>
      </c>
      <c r="M46" s="47" t="s">
        <v>80</v>
      </c>
      <c r="N46" s="47"/>
      <c r="O46" s="48" t="s">
        <v>108</v>
      </c>
      <c r="P46" s="48" t="s">
        <v>109</v>
      </c>
    </row>
    <row r="47" spans="1:16" ht="12.75" customHeight="1" thickBot="1" x14ac:dyDescent="0.25">
      <c r="A47" s="10" t="str">
        <f t="shared" si="6"/>
        <v> WARC 15.4 </v>
      </c>
      <c r="B47" s="5" t="str">
        <f t="shared" si="7"/>
        <v>I</v>
      </c>
      <c r="C47" s="10">
        <f t="shared" si="8"/>
        <v>27157.398000000001</v>
      </c>
      <c r="D47" s="22" t="str">
        <f t="shared" si="9"/>
        <v>vis</v>
      </c>
      <c r="E47" s="45">
        <f>VLOOKUP(C47,Active!C$21:E$972,3,FALSE)</f>
        <v>-3054.9981574263729</v>
      </c>
      <c r="F47" s="5" t="s">
        <v>43</v>
      </c>
      <c r="G47" s="22" t="str">
        <f t="shared" si="10"/>
        <v>27157.398</v>
      </c>
      <c r="H47" s="10">
        <f t="shared" si="11"/>
        <v>-3055</v>
      </c>
      <c r="I47" s="46" t="s">
        <v>154</v>
      </c>
      <c r="J47" s="47" t="s">
        <v>155</v>
      </c>
      <c r="K47" s="46">
        <v>-3055</v>
      </c>
      <c r="L47" s="46" t="s">
        <v>156</v>
      </c>
      <c r="M47" s="47" t="s">
        <v>80</v>
      </c>
      <c r="N47" s="47"/>
      <c r="O47" s="48" t="s">
        <v>157</v>
      </c>
      <c r="P47" s="48" t="s">
        <v>158</v>
      </c>
    </row>
    <row r="48" spans="1:16" ht="12.75" customHeight="1" thickBot="1" x14ac:dyDescent="0.25">
      <c r="A48" s="10" t="str">
        <f t="shared" si="6"/>
        <v> CPRI 18.10 </v>
      </c>
      <c r="B48" s="5" t="str">
        <f t="shared" si="7"/>
        <v>I</v>
      </c>
      <c r="C48" s="10">
        <f t="shared" si="8"/>
        <v>28095.946</v>
      </c>
      <c r="D48" s="22" t="str">
        <f t="shared" si="9"/>
        <v>vis</v>
      </c>
      <c r="E48" s="45">
        <f>VLOOKUP(C48,Active!C$21:E$972,3,FALSE)</f>
        <v>-2749.0008484348132</v>
      </c>
      <c r="F48" s="5" t="s">
        <v>43</v>
      </c>
      <c r="G48" s="22" t="str">
        <f t="shared" si="10"/>
        <v>28095.946</v>
      </c>
      <c r="H48" s="10">
        <f t="shared" si="11"/>
        <v>-2749</v>
      </c>
      <c r="I48" s="46" t="s">
        <v>159</v>
      </c>
      <c r="J48" s="47" t="s">
        <v>160</v>
      </c>
      <c r="K48" s="46">
        <v>-2749</v>
      </c>
      <c r="L48" s="46" t="s">
        <v>75</v>
      </c>
      <c r="M48" s="47" t="s">
        <v>80</v>
      </c>
      <c r="N48" s="47"/>
      <c r="O48" s="48" t="s">
        <v>130</v>
      </c>
      <c r="P48" s="48" t="s">
        <v>131</v>
      </c>
    </row>
    <row r="49" spans="1:16" ht="12.75" customHeight="1" thickBot="1" x14ac:dyDescent="0.25">
      <c r="A49" s="10" t="str">
        <f t="shared" si="6"/>
        <v> HB 917.7 </v>
      </c>
      <c r="B49" s="5" t="str">
        <f t="shared" si="7"/>
        <v>I</v>
      </c>
      <c r="C49" s="10">
        <f t="shared" si="8"/>
        <v>28095.946</v>
      </c>
      <c r="D49" s="22" t="str">
        <f t="shared" si="9"/>
        <v>vis</v>
      </c>
      <c r="E49" s="45">
        <f>VLOOKUP(C49,Active!C$21:E$972,3,FALSE)</f>
        <v>-2749.0008484348132</v>
      </c>
      <c r="F49" s="5" t="s">
        <v>43</v>
      </c>
      <c r="G49" s="22" t="str">
        <f t="shared" si="10"/>
        <v>28095.946</v>
      </c>
      <c r="H49" s="10">
        <f t="shared" si="11"/>
        <v>-2749</v>
      </c>
      <c r="I49" s="46" t="s">
        <v>159</v>
      </c>
      <c r="J49" s="47" t="s">
        <v>160</v>
      </c>
      <c r="K49" s="46">
        <v>-2749</v>
      </c>
      <c r="L49" s="46" t="s">
        <v>75</v>
      </c>
      <c r="M49" s="47" t="s">
        <v>76</v>
      </c>
      <c r="N49" s="47"/>
      <c r="O49" s="48" t="s">
        <v>161</v>
      </c>
      <c r="P49" s="48" t="s">
        <v>162</v>
      </c>
    </row>
    <row r="50" spans="1:16" ht="12.75" customHeight="1" thickBot="1" x14ac:dyDescent="0.25">
      <c r="A50" s="10" t="str">
        <f t="shared" si="6"/>
        <v> CPRI 18.10 </v>
      </c>
      <c r="B50" s="5" t="str">
        <f t="shared" si="7"/>
        <v>I</v>
      </c>
      <c r="C50" s="10">
        <f t="shared" si="8"/>
        <v>28218.632000000001</v>
      </c>
      <c r="D50" s="22" t="str">
        <f t="shared" si="9"/>
        <v>vis</v>
      </c>
      <c r="E50" s="45">
        <f>VLOOKUP(C50,Active!C$21:E$972,3,FALSE)</f>
        <v>-2709.0012044624864</v>
      </c>
      <c r="F50" s="5" t="s">
        <v>43</v>
      </c>
      <c r="G50" s="22" t="str">
        <f t="shared" si="10"/>
        <v>28218.632</v>
      </c>
      <c r="H50" s="10">
        <f t="shared" si="11"/>
        <v>-2709</v>
      </c>
      <c r="I50" s="46" t="s">
        <v>163</v>
      </c>
      <c r="J50" s="47" t="s">
        <v>164</v>
      </c>
      <c r="K50" s="46">
        <v>-2709</v>
      </c>
      <c r="L50" s="46" t="s">
        <v>124</v>
      </c>
      <c r="M50" s="47" t="s">
        <v>80</v>
      </c>
      <c r="N50" s="47"/>
      <c r="O50" s="48" t="s">
        <v>130</v>
      </c>
      <c r="P50" s="48" t="s">
        <v>131</v>
      </c>
    </row>
    <row r="51" spans="1:16" ht="12.75" customHeight="1" thickBot="1" x14ac:dyDescent="0.25">
      <c r="A51" s="10" t="str">
        <f t="shared" si="6"/>
        <v> CPRI 18.10 </v>
      </c>
      <c r="B51" s="5" t="str">
        <f t="shared" si="7"/>
        <v>I</v>
      </c>
      <c r="C51" s="10">
        <f t="shared" si="8"/>
        <v>28405.725999999999</v>
      </c>
      <c r="D51" s="22" t="str">
        <f t="shared" si="9"/>
        <v>vis</v>
      </c>
      <c r="E51" s="45">
        <f>VLOOKUP(C51,Active!C$21:E$972,3,FALSE)</f>
        <v>-2648.0024483749276</v>
      </c>
      <c r="F51" s="5" t="s">
        <v>43</v>
      </c>
      <c r="G51" s="22" t="str">
        <f t="shared" si="10"/>
        <v>28405.726</v>
      </c>
      <c r="H51" s="10">
        <f t="shared" si="11"/>
        <v>-2648</v>
      </c>
      <c r="I51" s="46" t="s">
        <v>165</v>
      </c>
      <c r="J51" s="47" t="s">
        <v>166</v>
      </c>
      <c r="K51" s="46">
        <v>-2648</v>
      </c>
      <c r="L51" s="46" t="s">
        <v>167</v>
      </c>
      <c r="M51" s="47" t="s">
        <v>80</v>
      </c>
      <c r="N51" s="47"/>
      <c r="O51" s="48" t="s">
        <v>130</v>
      </c>
      <c r="P51" s="48" t="s">
        <v>131</v>
      </c>
    </row>
    <row r="52" spans="1:16" ht="12.75" customHeight="1" thickBot="1" x14ac:dyDescent="0.25">
      <c r="A52" s="10" t="str">
        <f t="shared" si="6"/>
        <v> HA 113.72 </v>
      </c>
      <c r="B52" s="5" t="str">
        <f t="shared" si="7"/>
        <v>I</v>
      </c>
      <c r="C52" s="10">
        <f t="shared" si="8"/>
        <v>29672.44</v>
      </c>
      <c r="D52" s="22" t="str">
        <f t="shared" si="9"/>
        <v>vis</v>
      </c>
      <c r="E52" s="45">
        <f>VLOOKUP(C52,Active!C$21:E$972,3,FALSE)</f>
        <v>-2235.012302679731</v>
      </c>
      <c r="F52" s="5" t="s">
        <v>43</v>
      </c>
      <c r="G52" s="22" t="str">
        <f t="shared" si="10"/>
        <v>29672.440</v>
      </c>
      <c r="H52" s="10">
        <f t="shared" si="11"/>
        <v>-2235</v>
      </c>
      <c r="I52" s="46" t="s">
        <v>168</v>
      </c>
      <c r="J52" s="47" t="s">
        <v>169</v>
      </c>
      <c r="K52" s="46">
        <v>-2235</v>
      </c>
      <c r="L52" s="46" t="s">
        <v>170</v>
      </c>
      <c r="M52" s="47" t="s">
        <v>76</v>
      </c>
      <c r="N52" s="47"/>
      <c r="O52" s="48" t="s">
        <v>125</v>
      </c>
      <c r="P52" s="48" t="s">
        <v>171</v>
      </c>
    </row>
    <row r="53" spans="1:16" ht="12.75" customHeight="1" thickBot="1" x14ac:dyDescent="0.25">
      <c r="A53" s="10" t="str">
        <f t="shared" si="6"/>
        <v> BTOK 49.384 </v>
      </c>
      <c r="B53" s="5" t="str">
        <f t="shared" si="7"/>
        <v>I</v>
      </c>
      <c r="C53" s="10">
        <f t="shared" si="8"/>
        <v>33543.269999999997</v>
      </c>
      <c r="D53" s="22" t="str">
        <f t="shared" si="9"/>
        <v>vis</v>
      </c>
      <c r="E53" s="45">
        <f>VLOOKUP(C53,Active!C$21:E$972,3,FALSE)</f>
        <v>-972.99526832048537</v>
      </c>
      <c r="F53" s="5" t="s">
        <v>43</v>
      </c>
      <c r="G53" s="22" t="str">
        <f t="shared" si="10"/>
        <v>33543.27</v>
      </c>
      <c r="H53" s="10">
        <f t="shared" si="11"/>
        <v>-973</v>
      </c>
      <c r="I53" s="46" t="s">
        <v>172</v>
      </c>
      <c r="J53" s="47" t="s">
        <v>173</v>
      </c>
      <c r="K53" s="46">
        <v>-973</v>
      </c>
      <c r="L53" s="46" t="s">
        <v>174</v>
      </c>
      <c r="M53" s="47" t="s">
        <v>76</v>
      </c>
      <c r="N53" s="47"/>
      <c r="O53" s="48" t="s">
        <v>175</v>
      </c>
      <c r="P53" s="48" t="s">
        <v>176</v>
      </c>
    </row>
    <row r="54" spans="1:16" ht="12.75" customHeight="1" thickBot="1" x14ac:dyDescent="0.25">
      <c r="A54" s="10" t="str">
        <f t="shared" si="6"/>
        <v> HABZ 57 </v>
      </c>
      <c r="B54" s="5" t="str">
        <f t="shared" si="7"/>
        <v>I</v>
      </c>
      <c r="C54" s="10">
        <f t="shared" si="8"/>
        <v>37018.425999999999</v>
      </c>
      <c r="D54" s="22" t="str">
        <f t="shared" si="9"/>
        <v>vis</v>
      </c>
      <c r="E54" s="45">
        <f>VLOOKUP(C54,Active!C$21:E$972,3,FALSE)</f>
        <v>160.01911594742199</v>
      </c>
      <c r="F54" s="5" t="s">
        <v>43</v>
      </c>
      <c r="G54" s="22" t="str">
        <f t="shared" si="10"/>
        <v>37018.426</v>
      </c>
      <c r="H54" s="10">
        <f t="shared" si="11"/>
        <v>160</v>
      </c>
      <c r="I54" s="46" t="s">
        <v>184</v>
      </c>
      <c r="J54" s="47" t="s">
        <v>185</v>
      </c>
      <c r="K54" s="46">
        <v>160</v>
      </c>
      <c r="L54" s="46" t="s">
        <v>186</v>
      </c>
      <c r="M54" s="47" t="s">
        <v>187</v>
      </c>
      <c r="N54" s="47"/>
      <c r="O54" s="48" t="s">
        <v>188</v>
      </c>
      <c r="P54" s="48" t="s">
        <v>189</v>
      </c>
    </row>
    <row r="55" spans="1:16" ht="12.75" customHeight="1" thickBot="1" x14ac:dyDescent="0.25">
      <c r="A55" s="10" t="str">
        <f t="shared" si="6"/>
        <v> MVS 6.53 </v>
      </c>
      <c r="B55" s="5" t="str">
        <f t="shared" si="7"/>
        <v>I</v>
      </c>
      <c r="C55" s="10">
        <f t="shared" si="8"/>
        <v>37696.283000000003</v>
      </c>
      <c r="D55" s="22" t="str">
        <f t="shared" si="9"/>
        <v>vis</v>
      </c>
      <c r="E55" s="45">
        <f>VLOOKUP(C55,Active!C$21:E$972,3,FALSE)</f>
        <v>381.02264254498897</v>
      </c>
      <c r="F55" s="5" t="s">
        <v>43</v>
      </c>
      <c r="G55" s="22" t="str">
        <f t="shared" si="10"/>
        <v>37696.283</v>
      </c>
      <c r="H55" s="10">
        <f t="shared" si="11"/>
        <v>381</v>
      </c>
      <c r="I55" s="46" t="s">
        <v>190</v>
      </c>
      <c r="J55" s="47" t="s">
        <v>191</v>
      </c>
      <c r="K55" s="46">
        <v>381</v>
      </c>
      <c r="L55" s="46" t="s">
        <v>192</v>
      </c>
      <c r="M55" s="47" t="s">
        <v>187</v>
      </c>
      <c r="N55" s="47"/>
      <c r="O55" s="48" t="s">
        <v>193</v>
      </c>
      <c r="P55" s="48" t="s">
        <v>194</v>
      </c>
    </row>
    <row r="56" spans="1:16" ht="12.75" customHeight="1" thickBot="1" x14ac:dyDescent="0.25">
      <c r="A56" s="10" t="str">
        <f t="shared" si="6"/>
        <v> MVS 6.53 </v>
      </c>
      <c r="B56" s="5" t="str">
        <f t="shared" si="7"/>
        <v>I</v>
      </c>
      <c r="C56" s="10">
        <f t="shared" si="8"/>
        <v>38113.353999999999</v>
      </c>
      <c r="D56" s="22" t="str">
        <f t="shared" si="9"/>
        <v>vis</v>
      </c>
      <c r="E56" s="45">
        <f>VLOOKUP(C56,Active!C$21:E$972,3,FALSE)</f>
        <v>517.00141364504771</v>
      </c>
      <c r="F56" s="5" t="s">
        <v>43</v>
      </c>
      <c r="G56" s="22" t="str">
        <f t="shared" si="10"/>
        <v>38113.354</v>
      </c>
      <c r="H56" s="10">
        <f t="shared" si="11"/>
        <v>517</v>
      </c>
      <c r="I56" s="46" t="s">
        <v>195</v>
      </c>
      <c r="J56" s="47" t="s">
        <v>196</v>
      </c>
      <c r="K56" s="46">
        <v>517</v>
      </c>
      <c r="L56" s="46" t="s">
        <v>197</v>
      </c>
      <c r="M56" s="47" t="s">
        <v>187</v>
      </c>
      <c r="N56" s="47"/>
      <c r="O56" s="48" t="s">
        <v>193</v>
      </c>
      <c r="P56" s="48" t="s">
        <v>194</v>
      </c>
    </row>
    <row r="57" spans="1:16" ht="12.75" customHeight="1" thickBot="1" x14ac:dyDescent="0.25">
      <c r="A57" s="10" t="str">
        <f t="shared" si="6"/>
        <v> MVS 6.53 </v>
      </c>
      <c r="B57" s="5" t="str">
        <f t="shared" si="7"/>
        <v>I</v>
      </c>
      <c r="C57" s="10">
        <f t="shared" si="8"/>
        <v>38343.440999999999</v>
      </c>
      <c r="D57" s="22" t="str">
        <f t="shared" si="9"/>
        <v>vis</v>
      </c>
      <c r="E57" s="45">
        <f>VLOOKUP(C57,Active!C$21:E$972,3,FALSE)</f>
        <v>592.01729225108704</v>
      </c>
      <c r="F57" s="5" t="s">
        <v>43</v>
      </c>
      <c r="G57" s="22" t="str">
        <f t="shared" si="10"/>
        <v>38343.441</v>
      </c>
      <c r="H57" s="10">
        <f t="shared" si="11"/>
        <v>592</v>
      </c>
      <c r="I57" s="46" t="s">
        <v>198</v>
      </c>
      <c r="J57" s="47" t="s">
        <v>199</v>
      </c>
      <c r="K57" s="46">
        <v>592</v>
      </c>
      <c r="L57" s="46" t="s">
        <v>200</v>
      </c>
      <c r="M57" s="47" t="s">
        <v>187</v>
      </c>
      <c r="N57" s="47"/>
      <c r="O57" s="48" t="s">
        <v>193</v>
      </c>
      <c r="P57" s="48" t="s">
        <v>194</v>
      </c>
    </row>
    <row r="58" spans="1:16" ht="12.75" customHeight="1" thickBot="1" x14ac:dyDescent="0.25">
      <c r="A58" s="10" t="str">
        <f t="shared" si="6"/>
        <v> MVS 6.53 </v>
      </c>
      <c r="B58" s="5" t="str">
        <f t="shared" si="7"/>
        <v>I</v>
      </c>
      <c r="C58" s="10">
        <f t="shared" si="8"/>
        <v>38708.396999999997</v>
      </c>
      <c r="D58" s="22" t="str">
        <f t="shared" si="9"/>
        <v>vis</v>
      </c>
      <c r="E58" s="45">
        <f>VLOOKUP(C58,Active!C$21:E$972,3,FALSE)</f>
        <v>711.00487083025769</v>
      </c>
      <c r="F58" s="5" t="s">
        <v>43</v>
      </c>
      <c r="G58" s="22" t="str">
        <f t="shared" si="10"/>
        <v>38708.397</v>
      </c>
      <c r="H58" s="10">
        <f t="shared" si="11"/>
        <v>711</v>
      </c>
      <c r="I58" s="46" t="s">
        <v>201</v>
      </c>
      <c r="J58" s="47" t="s">
        <v>202</v>
      </c>
      <c r="K58" s="46">
        <v>711</v>
      </c>
      <c r="L58" s="46" t="s">
        <v>203</v>
      </c>
      <c r="M58" s="47" t="s">
        <v>187</v>
      </c>
      <c r="N58" s="47"/>
      <c r="O58" s="48" t="s">
        <v>193</v>
      </c>
      <c r="P58" s="48" t="s">
        <v>194</v>
      </c>
    </row>
    <row r="59" spans="1:16" ht="12.75" customHeight="1" thickBot="1" x14ac:dyDescent="0.25">
      <c r="A59" s="10" t="str">
        <f t="shared" si="6"/>
        <v> MVS 6.53 </v>
      </c>
      <c r="B59" s="5" t="str">
        <f t="shared" si="7"/>
        <v>I</v>
      </c>
      <c r="C59" s="10">
        <f t="shared" si="8"/>
        <v>39441.497000000003</v>
      </c>
      <c r="D59" s="22" t="str">
        <f t="shared" si="9"/>
        <v>vis</v>
      </c>
      <c r="E59" s="45">
        <f>VLOOKUP(C59,Active!C$21:E$972,3,FALSE)</f>
        <v>950.01942013590292</v>
      </c>
      <c r="F59" s="5" t="s">
        <v>43</v>
      </c>
      <c r="G59" s="22" t="str">
        <f t="shared" si="10"/>
        <v>39441.497</v>
      </c>
      <c r="H59" s="10">
        <f t="shared" si="11"/>
        <v>950</v>
      </c>
      <c r="I59" s="46" t="s">
        <v>204</v>
      </c>
      <c r="J59" s="47" t="s">
        <v>205</v>
      </c>
      <c r="K59" s="46">
        <v>950</v>
      </c>
      <c r="L59" s="46" t="s">
        <v>206</v>
      </c>
      <c r="M59" s="47" t="s">
        <v>187</v>
      </c>
      <c r="N59" s="47"/>
      <c r="O59" s="48" t="s">
        <v>193</v>
      </c>
      <c r="P59" s="48" t="s">
        <v>194</v>
      </c>
    </row>
    <row r="60" spans="1:16" ht="12.75" customHeight="1" thickBot="1" x14ac:dyDescent="0.25">
      <c r="A60" s="10" t="str">
        <f t="shared" si="6"/>
        <v> MVS 6.53 </v>
      </c>
      <c r="B60" s="5" t="str">
        <f t="shared" si="7"/>
        <v>I</v>
      </c>
      <c r="C60" s="10">
        <f t="shared" si="8"/>
        <v>39533.379000000001</v>
      </c>
      <c r="D60" s="22" t="str">
        <f t="shared" si="9"/>
        <v>vis</v>
      </c>
      <c r="E60" s="45">
        <f>VLOOKUP(C60,Active!C$21:E$972,3,FALSE)</f>
        <v>979.97595378656524</v>
      </c>
      <c r="F60" s="5" t="s">
        <v>43</v>
      </c>
      <c r="G60" s="22" t="str">
        <f t="shared" si="10"/>
        <v>39533.379</v>
      </c>
      <c r="H60" s="10">
        <f t="shared" si="11"/>
        <v>980</v>
      </c>
      <c r="I60" s="46" t="s">
        <v>207</v>
      </c>
      <c r="J60" s="47" t="s">
        <v>208</v>
      </c>
      <c r="K60" s="46">
        <v>980</v>
      </c>
      <c r="L60" s="46" t="s">
        <v>209</v>
      </c>
      <c r="M60" s="47" t="s">
        <v>187</v>
      </c>
      <c r="N60" s="47"/>
      <c r="O60" s="48" t="s">
        <v>193</v>
      </c>
      <c r="P60" s="48" t="s">
        <v>194</v>
      </c>
    </row>
    <row r="61" spans="1:16" ht="12.75" customHeight="1" thickBot="1" x14ac:dyDescent="0.25">
      <c r="A61" s="10" t="str">
        <f t="shared" si="6"/>
        <v>BAVM 62 </v>
      </c>
      <c r="B61" s="5" t="str">
        <f t="shared" si="7"/>
        <v>I</v>
      </c>
      <c r="C61" s="10">
        <f t="shared" si="8"/>
        <v>48888.347600000001</v>
      </c>
      <c r="D61" s="22" t="str">
        <f t="shared" si="9"/>
        <v>vis</v>
      </c>
      <c r="E61" s="45">
        <f>VLOOKUP(C61,Active!C$21:E$972,3,FALSE)</f>
        <v>4030.0013305393209</v>
      </c>
      <c r="F61" s="5" t="s">
        <v>43</v>
      </c>
      <c r="G61" s="22" t="str">
        <f t="shared" si="10"/>
        <v>48888.3476</v>
      </c>
      <c r="H61" s="10">
        <f t="shared" si="11"/>
        <v>4030</v>
      </c>
      <c r="I61" s="46" t="s">
        <v>236</v>
      </c>
      <c r="J61" s="47" t="s">
        <v>237</v>
      </c>
      <c r="K61" s="46">
        <v>4030</v>
      </c>
      <c r="L61" s="46" t="s">
        <v>238</v>
      </c>
      <c r="M61" s="47" t="s">
        <v>180</v>
      </c>
      <c r="N61" s="47" t="s">
        <v>239</v>
      </c>
      <c r="O61" s="48" t="s">
        <v>240</v>
      </c>
      <c r="P61" s="49" t="s">
        <v>241</v>
      </c>
    </row>
    <row r="62" spans="1:16" ht="12.75" customHeight="1" thickBot="1" x14ac:dyDescent="0.25">
      <c r="A62" s="10" t="str">
        <f t="shared" si="6"/>
        <v>BAVM 62 </v>
      </c>
      <c r="B62" s="5" t="str">
        <f t="shared" si="7"/>
        <v>I</v>
      </c>
      <c r="C62" s="10">
        <f t="shared" si="8"/>
        <v>48888.348100000003</v>
      </c>
      <c r="D62" s="22" t="str">
        <f t="shared" si="9"/>
        <v>vis</v>
      </c>
      <c r="E62" s="45">
        <f>VLOOKUP(C62,Active!C$21:E$972,3,FALSE)</f>
        <v>4030.001493555656</v>
      </c>
      <c r="F62" s="5" t="s">
        <v>43</v>
      </c>
      <c r="G62" s="22" t="str">
        <f t="shared" si="10"/>
        <v>48888.3481</v>
      </c>
      <c r="H62" s="10">
        <f t="shared" si="11"/>
        <v>4030</v>
      </c>
      <c r="I62" s="46" t="s">
        <v>242</v>
      </c>
      <c r="J62" s="47" t="s">
        <v>243</v>
      </c>
      <c r="K62" s="46">
        <v>4030</v>
      </c>
      <c r="L62" s="46" t="s">
        <v>244</v>
      </c>
      <c r="M62" s="47" t="s">
        <v>180</v>
      </c>
      <c r="N62" s="47" t="s">
        <v>245</v>
      </c>
      <c r="O62" s="48" t="s">
        <v>240</v>
      </c>
      <c r="P62" s="49" t="s">
        <v>241</v>
      </c>
    </row>
    <row r="63" spans="1:16" ht="12.75" customHeight="1" thickBot="1" x14ac:dyDescent="0.25">
      <c r="A63" s="10" t="str">
        <f t="shared" si="6"/>
        <v>IBVS 5594 </v>
      </c>
      <c r="B63" s="5" t="str">
        <f t="shared" si="7"/>
        <v>I</v>
      </c>
      <c r="C63" s="10">
        <f t="shared" si="8"/>
        <v>52188.635999999999</v>
      </c>
      <c r="D63" s="22" t="str">
        <f t="shared" si="9"/>
        <v>vis</v>
      </c>
      <c r="E63" s="45" t="e">
        <f>VLOOKUP(C63,Active!C$21:E$972,3,FALSE)</f>
        <v>#N/A</v>
      </c>
      <c r="F63" s="5" t="s">
        <v>43</v>
      </c>
      <c r="G63" s="22" t="str">
        <f t="shared" si="10"/>
        <v>52188.6360</v>
      </c>
      <c r="H63" s="10">
        <f t="shared" si="11"/>
        <v>5106</v>
      </c>
      <c r="I63" s="46" t="s">
        <v>252</v>
      </c>
      <c r="J63" s="47" t="s">
        <v>253</v>
      </c>
      <c r="K63" s="46">
        <v>5106</v>
      </c>
      <c r="L63" s="46" t="s">
        <v>254</v>
      </c>
      <c r="M63" s="47" t="s">
        <v>180</v>
      </c>
      <c r="N63" s="47" t="s">
        <v>181</v>
      </c>
      <c r="O63" s="48" t="s">
        <v>255</v>
      </c>
      <c r="P63" s="49" t="s">
        <v>256</v>
      </c>
    </row>
    <row r="64" spans="1:16" ht="12.75" customHeight="1" thickBot="1" x14ac:dyDescent="0.25">
      <c r="A64" s="10" t="str">
        <f t="shared" si="6"/>
        <v>VSB 50 </v>
      </c>
      <c r="B64" s="5" t="str">
        <f t="shared" si="7"/>
        <v>I</v>
      </c>
      <c r="C64" s="10">
        <f t="shared" si="8"/>
        <v>54850.953500000003</v>
      </c>
      <c r="D64" s="22" t="str">
        <f t="shared" si="9"/>
        <v>vis</v>
      </c>
      <c r="E64" s="45">
        <f>VLOOKUP(C64,Active!C$21:E$972,3,FALSE)</f>
        <v>5974.0056435602874</v>
      </c>
      <c r="F64" s="5" t="s">
        <v>43</v>
      </c>
      <c r="G64" s="22" t="str">
        <f t="shared" si="10"/>
        <v>54850.9535</v>
      </c>
      <c r="H64" s="10">
        <f t="shared" si="11"/>
        <v>5974</v>
      </c>
      <c r="I64" s="46" t="s">
        <v>272</v>
      </c>
      <c r="J64" s="47" t="s">
        <v>273</v>
      </c>
      <c r="K64" s="46" t="s">
        <v>274</v>
      </c>
      <c r="L64" s="46" t="s">
        <v>275</v>
      </c>
      <c r="M64" s="47" t="s">
        <v>268</v>
      </c>
      <c r="N64" s="47" t="s">
        <v>43</v>
      </c>
      <c r="O64" s="48" t="s">
        <v>276</v>
      </c>
      <c r="P64" s="49" t="s">
        <v>277</v>
      </c>
    </row>
    <row r="65" spans="1:16" ht="12.75" customHeight="1" thickBot="1" x14ac:dyDescent="0.25">
      <c r="A65" s="10" t="str">
        <f t="shared" si="6"/>
        <v>BAVM 212 </v>
      </c>
      <c r="B65" s="5" t="str">
        <f t="shared" si="7"/>
        <v>I</v>
      </c>
      <c r="C65" s="10">
        <f t="shared" si="8"/>
        <v>55154.602899999998</v>
      </c>
      <c r="D65" s="22" t="str">
        <f t="shared" si="9"/>
        <v>vis</v>
      </c>
      <c r="E65" s="45">
        <f>VLOOKUP(C65,Active!C$21:E$972,3,FALSE)</f>
        <v>6073.0052677424283</v>
      </c>
      <c r="F65" s="5" t="s">
        <v>43</v>
      </c>
      <c r="G65" s="22" t="str">
        <f t="shared" si="10"/>
        <v>55154.6029</v>
      </c>
      <c r="H65" s="10">
        <f t="shared" si="11"/>
        <v>6073</v>
      </c>
      <c r="I65" s="46" t="s">
        <v>278</v>
      </c>
      <c r="J65" s="47" t="s">
        <v>279</v>
      </c>
      <c r="K65" s="46" t="s">
        <v>280</v>
      </c>
      <c r="L65" s="46" t="s">
        <v>281</v>
      </c>
      <c r="M65" s="47" t="s">
        <v>268</v>
      </c>
      <c r="N65" s="47" t="s">
        <v>269</v>
      </c>
      <c r="O65" s="48" t="s">
        <v>240</v>
      </c>
      <c r="P65" s="49" t="s">
        <v>282</v>
      </c>
    </row>
    <row r="66" spans="1:16" ht="12.75" customHeight="1" thickBot="1" x14ac:dyDescent="0.25">
      <c r="A66" s="10" t="str">
        <f t="shared" si="6"/>
        <v>BAVM 225 </v>
      </c>
      <c r="B66" s="5" t="str">
        <f t="shared" si="7"/>
        <v>II</v>
      </c>
      <c r="C66" s="10">
        <f t="shared" si="8"/>
        <v>55858.532899999998</v>
      </c>
      <c r="D66" s="22" t="str">
        <f t="shared" si="9"/>
        <v>vis</v>
      </c>
      <c r="E66" s="45">
        <f>VLOOKUP(C66,Active!C$21:E$972,3,FALSE)</f>
        <v>6302.5094441068013</v>
      </c>
      <c r="F66" s="5" t="s">
        <v>43</v>
      </c>
      <c r="G66" s="22" t="str">
        <f t="shared" si="10"/>
        <v>55858.5329</v>
      </c>
      <c r="H66" s="10">
        <f t="shared" si="11"/>
        <v>6302.5</v>
      </c>
      <c r="I66" s="46" t="s">
        <v>283</v>
      </c>
      <c r="J66" s="47" t="s">
        <v>284</v>
      </c>
      <c r="K66" s="46" t="s">
        <v>285</v>
      </c>
      <c r="L66" s="46" t="s">
        <v>286</v>
      </c>
      <c r="M66" s="47" t="s">
        <v>268</v>
      </c>
      <c r="N66" s="47" t="s">
        <v>269</v>
      </c>
      <c r="O66" s="48" t="s">
        <v>240</v>
      </c>
      <c r="P66" s="49" t="s">
        <v>287</v>
      </c>
    </row>
    <row r="67" spans="1:16" ht="12.75" customHeight="1" thickBot="1" x14ac:dyDescent="0.25">
      <c r="A67" s="10" t="str">
        <f t="shared" si="6"/>
        <v>OEJV 0160 </v>
      </c>
      <c r="B67" s="5" t="str">
        <f t="shared" si="7"/>
        <v>I</v>
      </c>
      <c r="C67" s="10">
        <f t="shared" si="8"/>
        <v>56154.503750000003</v>
      </c>
      <c r="D67" s="22" t="str">
        <f t="shared" si="9"/>
        <v>vis</v>
      </c>
      <c r="E67" s="45">
        <f>VLOOKUP(C67,Active!C$21:E$972,3,FALSE)</f>
        <v>6399.0056101419386</v>
      </c>
      <c r="F67" s="5" t="s">
        <v>43</v>
      </c>
      <c r="G67" s="22" t="str">
        <f t="shared" si="10"/>
        <v>56154.50375</v>
      </c>
      <c r="H67" s="10">
        <f t="shared" si="11"/>
        <v>6399</v>
      </c>
      <c r="I67" s="46" t="s">
        <v>288</v>
      </c>
      <c r="J67" s="47" t="s">
        <v>289</v>
      </c>
      <c r="K67" s="46" t="s">
        <v>290</v>
      </c>
      <c r="L67" s="46" t="s">
        <v>291</v>
      </c>
      <c r="M67" s="47" t="s">
        <v>268</v>
      </c>
      <c r="N67" s="47" t="s">
        <v>66</v>
      </c>
      <c r="O67" s="48" t="s">
        <v>292</v>
      </c>
      <c r="P67" s="49" t="s">
        <v>293</v>
      </c>
    </row>
    <row r="68" spans="1:16" x14ac:dyDescent="0.2">
      <c r="B68" s="5"/>
      <c r="F68" s="5"/>
    </row>
    <row r="69" spans="1:16" x14ac:dyDescent="0.2">
      <c r="B69" s="5"/>
      <c r="F69" s="5"/>
    </row>
    <row r="70" spans="1:16" x14ac:dyDescent="0.2">
      <c r="B70" s="5"/>
      <c r="F70" s="5"/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</sheetData>
  <phoneticPr fontId="8" type="noConversion"/>
  <hyperlinks>
    <hyperlink ref="P12" r:id="rId1" display="http://www.konkoly.hu/cgi-bin/IBVS?740" xr:uid="{00000000-0004-0000-0100-000000000000}"/>
    <hyperlink ref="P13" r:id="rId2" display="http://www.konkoly.hu/cgi-bin/IBVS?740" xr:uid="{00000000-0004-0000-0100-000001000000}"/>
    <hyperlink ref="P61" r:id="rId3" display="http://www.bav-astro.de/sfs/BAVM_link.php?BAVMnr=62" xr:uid="{00000000-0004-0000-0100-000002000000}"/>
    <hyperlink ref="P62" r:id="rId4" display="http://www.bav-astro.de/sfs/BAVM_link.php?BAVMnr=62" xr:uid="{00000000-0004-0000-0100-000003000000}"/>
    <hyperlink ref="P19" r:id="rId5" display="http://www.konkoly.hu/cgi-bin/IBVS?4108" xr:uid="{00000000-0004-0000-0100-000004000000}"/>
    <hyperlink ref="P63" r:id="rId6" display="http://www.konkoly.hu/cgi-bin/IBVS?5594" xr:uid="{00000000-0004-0000-0100-000005000000}"/>
    <hyperlink ref="P20" r:id="rId7" display="http://www.konkoly.hu/cgi-bin/IBVS?5494" xr:uid="{00000000-0004-0000-0100-000006000000}"/>
    <hyperlink ref="P21" r:id="rId8" display="http://www.konkoly.hu/cgi-bin/IBVS?5494" xr:uid="{00000000-0004-0000-0100-000007000000}"/>
    <hyperlink ref="P22" r:id="rId9" display="http://www.bav-astro.de/sfs/BAVM_link.php?BAVMnr=183" xr:uid="{00000000-0004-0000-0100-000008000000}"/>
    <hyperlink ref="P64" r:id="rId10" display="http://vsolj.cetus-net.org/vsoljno50.pdf" xr:uid="{00000000-0004-0000-0100-000009000000}"/>
    <hyperlink ref="P65" r:id="rId11" display="http://www.bav-astro.de/sfs/BAVM_link.php?BAVMnr=212" xr:uid="{00000000-0004-0000-0100-00000A000000}"/>
    <hyperlink ref="P66" r:id="rId12" display="http://www.bav-astro.de/sfs/BAVM_link.php?BAVMnr=225" xr:uid="{00000000-0004-0000-0100-00000B000000}"/>
    <hyperlink ref="P67" r:id="rId13" display="http://var.astro.cz/oejv/issues/oejv0160.pdf" xr:uid="{00000000-0004-0000-0100-00000C000000}"/>
    <hyperlink ref="P23" r:id="rId14" display="http://www.bav-astro.de/sfs/BAVM_link.php?BAVMnr=239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2023-01-26T06:37:47Z</dcterms:modified>
</cp:coreProperties>
</file>