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942BB62-2450-46F6-983A-D873E5778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Q21" i="1"/>
  <c r="E23" i="1"/>
  <c r="F23" i="1" s="1"/>
  <c r="G23" i="1" s="1"/>
  <c r="K23" i="1" s="1"/>
  <c r="F16" i="1"/>
  <c r="C17" i="1"/>
  <c r="Q22" i="1"/>
  <c r="E21" i="1"/>
  <c r="F21" i="1" s="1"/>
  <c r="G21" i="1" s="1"/>
  <c r="I21" i="1" s="1"/>
  <c r="E22" i="1"/>
  <c r="F22" i="1"/>
  <c r="G22" i="1" s="1"/>
  <c r="I22" i="1" s="1"/>
  <c r="C12" i="1"/>
  <c r="C11" i="1"/>
  <c r="O24" i="1" l="1"/>
  <c r="O23" i="1"/>
  <c r="O21" i="1"/>
  <c r="O22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<sst xmlns="http://schemas.openxmlformats.org/spreadsheetml/2006/main" count="60" uniqueCount="54">
  <si>
    <t>OEJV 0181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</si>
  <si>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</si>
  <si>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</si>
  <si>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</si>
  <si>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</si>
  <si>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</si>
  <si>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</si>
  <si>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</si>
  <si>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</si>
  <si>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</si>
  <si>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</si>
  <si>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</si>
  <si>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</si>
  <si>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</si>
  <si>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</si>
  <si>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</si>
  <si>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</si>
  <si>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</si>
  <si>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</si>
  <si>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</si>
  <si>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</si>
  <si>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</si>
  <si>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</si>
  <si>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</si>
  <si>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</si>
  <si>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</si>
  <si>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</si>
  <si>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</si>
  <si>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</si>
  <si>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</si>
  <si>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</si>
  <si>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</si>
  <si>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</si>
  <si>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</si>
  <si>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</si>
  <si>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</si>
  <si>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</si>
  <si>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</si>
  <si>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</si>
  <si>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</si>
  <si>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</si>
  <si>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</si>
  <si>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</si>
  <si>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V0742 Cen</t>
  </si>
  <si>
    <t>G7747-0429</t>
  </si>
  <si>
    <t>EB/DM</t>
  </si>
  <si>
    <t>pr_0</t>
  </si>
  <si>
    <t xml:space="preserve">B9V              </t>
  </si>
  <si>
    <t>V0742 Cen / GSC 7747-0429</t>
  </si>
  <si>
    <t>Kreiner</t>
  </si>
  <si>
    <t>GCVS</t>
  </si>
  <si>
    <t>JBAV, 55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</si>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</sst>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V0742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804511278195491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E7-4202-B109-78FBBD4F8B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6.9839999923715368E-3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E7-4202-B109-78FBBD4F8B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E7-4202-B109-78FBBD4F8B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2.0475999997870531E-2</c:v>
                </c:pt>
                <c:pt idx="3">
                  <c:v>2.2487999958684668E-2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E7-4202-B109-78FBBD4F8B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E7-4202-B109-78FBBD4F8B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E7-4202-B109-78FBBD4F8B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5.0000000000000001E-3</c:v>
                  </c:pt>
                  <c:pt idx="3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E7-4202-B109-78FBBD4F8B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3.1218385567248616E-3</c:v>
                </c:pt>
                <c:pt idx="1">
                  <c:v>4.4135027835420122E-3</c:v>
                </c:pt>
                <c:pt idx="2">
                  <c:v>1.915801675276288E-2</c:v>
                </c:pt>
                <c:pt idx="3">
                  <c:v>2.3254641855896978E-2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E7-4202-B109-78FBBD4F8B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-542</c:v>
                </c:pt>
                <c:pt idx="1">
                  <c:v>0</c:v>
                </c:pt>
                <c:pt idx="2">
                  <c:v>6187</c:v>
                </c:pt>
                <c:pt idx="3">
                  <c:v>7906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5E7-4202-B109-78FBBD4F8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79736"/>
        <c:axId val="1"/>
      </c:scatterChart>
      <c:valAx>
        <c:axId val="812779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79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CD5E30-A7E2-DD4C-C0CA-2A46BEFDD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11.272780000000001</v>
      </c>
      <c r="L1" s="34">
        <v>-41.305100000000003</v>
      </c>
      <c r="M1" s="35">
        <v>52500.08</v>
      </c>
      <c r="N1" s="35">
        <v>0.864452</v>
      </c>
      <c r="O1" s="33" t="s">
        <v>45</v>
      </c>
      <c r="P1" s="34">
        <v>9.4</v>
      </c>
      <c r="Q1" s="34">
        <v>10.199999999999999</v>
      </c>
      <c r="R1" s="41" t="s">
        <v>46</v>
      </c>
      <c r="S1" s="33" t="s">
        <v>47</v>
      </c>
    </row>
    <row r="2" spans="1:19" x14ac:dyDescent="0.2">
      <c r="A2" t="s">
        <v>25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2</v>
      </c>
      <c r="C4" s="27">
        <v>52031.553999999996</v>
      </c>
      <c r="D4" s="28">
        <v>0.86445399999999994</v>
      </c>
    </row>
    <row r="5" spans="1:19" ht="13.5" thickTop="1" x14ac:dyDescent="0.2">
      <c r="A5" s="9" t="s">
        <v>30</v>
      </c>
      <c r="B5" s="10"/>
      <c r="C5" s="11">
        <v>-9.5</v>
      </c>
      <c r="D5" s="10" t="s">
        <v>31</v>
      </c>
      <c r="E5" s="10"/>
    </row>
    <row r="6" spans="1:19" x14ac:dyDescent="0.2">
      <c r="A6" s="5" t="s">
        <v>3</v>
      </c>
    </row>
    <row r="7" spans="1:19" x14ac:dyDescent="0.2">
      <c r="A7" t="s">
        <v>4</v>
      </c>
      <c r="C7" s="8">
        <v>52500.08</v>
      </c>
      <c r="D7" s="33" t="s">
        <v>49</v>
      </c>
    </row>
    <row r="8" spans="1:19" x14ac:dyDescent="0.2">
      <c r="A8" t="s">
        <v>5</v>
      </c>
      <c r="C8" s="8">
        <v>0.864452</v>
      </c>
      <c r="D8" s="29" t="s">
        <v>49</v>
      </c>
    </row>
    <row r="9" spans="1:19" x14ac:dyDescent="0.2">
      <c r="A9" s="24" t="s">
        <v>34</v>
      </c>
      <c r="C9" s="25">
        <v>21</v>
      </c>
      <c r="D9" s="22" t="s">
        <v>52</v>
      </c>
      <c r="E9" s="23" t="s">
        <v>53</v>
      </c>
    </row>
    <row r="10" spans="1:19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19" x14ac:dyDescent="0.2">
      <c r="A11" s="10" t="s">
        <v>17</v>
      </c>
      <c r="B11" s="10"/>
      <c r="C11" s="21">
        <f ca="1">INTERCEPT(INDIRECT($E$9):G992,INDIRECT($D$9):F992)</f>
        <v>4.4135027835420122E-3</v>
      </c>
      <c r="D11" s="3"/>
      <c r="E11" s="10"/>
    </row>
    <row r="12" spans="1:19" x14ac:dyDescent="0.2">
      <c r="A12" s="10" t="s">
        <v>18</v>
      </c>
      <c r="B12" s="10"/>
      <c r="C12" s="21">
        <f ca="1">SLOPE(INDIRECT($E$9):G992,INDIRECT($D$9):F992)</f>
        <v>2.3831443299209419E-6</v>
      </c>
      <c r="D12" s="3"/>
      <c r="E12" s="10"/>
    </row>
    <row r="13" spans="1:19" x14ac:dyDescent="0.2">
      <c r="A13" s="10" t="s">
        <v>20</v>
      </c>
      <c r="B13" s="10"/>
      <c r="C13" s="3" t="s">
        <v>15</v>
      </c>
    </row>
    <row r="14" spans="1:19" x14ac:dyDescent="0.2">
      <c r="A14" s="10"/>
      <c r="B14" s="10"/>
      <c r="C14" s="10"/>
    </row>
    <row r="15" spans="1:19" x14ac:dyDescent="0.2">
      <c r="A15" s="12" t="s">
        <v>19</v>
      </c>
      <c r="B15" s="10"/>
      <c r="C15" s="13">
        <f ca="1">(C7+C11)+(C8+C12)*INT(MAX(F21:F3533))</f>
        <v>59334.46076664186</v>
      </c>
      <c r="E15" s="14" t="s">
        <v>36</v>
      </c>
      <c r="F15" s="36">
        <v>1</v>
      </c>
    </row>
    <row r="16" spans="1:19" x14ac:dyDescent="0.2">
      <c r="A16" s="16" t="s">
        <v>6</v>
      </c>
      <c r="B16" s="10"/>
      <c r="C16" s="17">
        <f ca="1">+C8+C12</f>
        <v>0.86445438314432987</v>
      </c>
      <c r="E16" s="14" t="s">
        <v>32</v>
      </c>
      <c r="F16" s="37">
        <f ca="1">NOW()+15018.5+$C$5/24</f>
        <v>59970.820788310186</v>
      </c>
    </row>
    <row r="17" spans="1:21" ht="13.5" thickBot="1" x14ac:dyDescent="0.25">
      <c r="A17" s="14" t="s">
        <v>29</v>
      </c>
      <c r="B17" s="10"/>
      <c r="C17" s="10">
        <f>COUNT(C21:C2191)</f>
        <v>4</v>
      </c>
      <c r="E17" s="14" t="s">
        <v>37</v>
      </c>
      <c r="F17" s="15">
        <f ca="1">ROUND(2*(F16-$C$7)/$C$8,0)/2+F15</f>
        <v>8643</v>
      </c>
    </row>
    <row r="18" spans="1:21" ht="14.25" thickTop="1" thickBot="1" x14ac:dyDescent="0.25">
      <c r="A18" s="16" t="s">
        <v>7</v>
      </c>
      <c r="B18" s="10"/>
      <c r="C18" s="19">
        <f ca="1">+C15</f>
        <v>59334.46076664186</v>
      </c>
      <c r="D18" s="20">
        <f ca="1">+C16</f>
        <v>0.86445438314432987</v>
      </c>
      <c r="E18" s="14" t="s">
        <v>38</v>
      </c>
      <c r="F18" s="23">
        <f ca="1">ROUND(2*(F16-$C$15)/$C$16,0)/2+F15</f>
        <v>737</v>
      </c>
    </row>
    <row r="19" spans="1:21" ht="13.5" thickTop="1" x14ac:dyDescent="0.2">
      <c r="E19" s="14" t="s">
        <v>33</v>
      </c>
      <c r="F19" s="18">
        <f ca="1">+$C$15+$C$16*F18-15018.5-$C$5/24</f>
        <v>44953.459480352569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 x14ac:dyDescent="0.2">
      <c r="A21" t="s">
        <v>50</v>
      </c>
      <c r="C21" s="8">
        <v>52031.553999999996</v>
      </c>
      <c r="D21" s="8"/>
      <c r="E21">
        <f>+(C21-C$7)/C$8</f>
        <v>-541.99192089324254</v>
      </c>
      <c r="F21">
        <f>ROUND(2*E21,0)/2</f>
        <v>-542</v>
      </c>
      <c r="G21">
        <f>+C21-(C$7+F21*C$8)</f>
        <v>6.9839999923715368E-3</v>
      </c>
      <c r="I21">
        <f>+G21</f>
        <v>6.9839999923715368E-3</v>
      </c>
      <c r="O21">
        <f ca="1">+C$11+C$12*$F21</f>
        <v>3.1218385567248616E-3</v>
      </c>
      <c r="Q21" s="2">
        <f>+C21-15018.5</f>
        <v>37013.053999999996</v>
      </c>
    </row>
    <row r="22" spans="1:21" x14ac:dyDescent="0.2">
      <c r="A22" t="s">
        <v>49</v>
      </c>
      <c r="C22" s="8">
        <v>52500.08</v>
      </c>
      <c r="D22" s="8" t="s">
        <v>15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4.4135027835420122E-3</v>
      </c>
      <c r="Q22" s="2">
        <f>+C22-15018.5</f>
        <v>37481.58</v>
      </c>
    </row>
    <row r="23" spans="1:21" x14ac:dyDescent="0.2">
      <c r="A23" s="42" t="s">
        <v>0</v>
      </c>
      <c r="B23" s="43" t="s">
        <v>1</v>
      </c>
      <c r="C23" s="44">
        <v>57848.464999999997</v>
      </c>
      <c r="D23" s="44">
        <v>5.0000000000000001E-3</v>
      </c>
      <c r="E23">
        <f>+(C23-C$7)/C$8</f>
        <v>6187.0236866824243</v>
      </c>
      <c r="F23">
        <f>ROUND(2*E23,0)/2</f>
        <v>6187</v>
      </c>
      <c r="G23">
        <f>+C23-(C$7+F23*C$8)</f>
        <v>2.0475999997870531E-2</v>
      </c>
      <c r="K23">
        <f>+G23</f>
        <v>2.0475999997870531E-2</v>
      </c>
      <c r="O23">
        <f ca="1">+C$11+C$12*$F23</f>
        <v>1.915801675276288E-2</v>
      </c>
      <c r="Q23" s="2">
        <f>+C23-15018.5</f>
        <v>42829.964999999997</v>
      </c>
    </row>
    <row r="24" spans="1:21" x14ac:dyDescent="0.2">
      <c r="A24" s="45" t="s">
        <v>51</v>
      </c>
      <c r="B24" s="46" t="s">
        <v>1</v>
      </c>
      <c r="C24" s="47">
        <v>59334.459999999963</v>
      </c>
      <c r="D24" s="45">
        <v>2E-3</v>
      </c>
      <c r="E24">
        <f>+(C24-C$7)/C$8</f>
        <v>7906.0260141684685</v>
      </c>
      <c r="F24">
        <f>ROUND(2*E24,0)/2</f>
        <v>7906</v>
      </c>
      <c r="G24">
        <f>+C24-(C$7+F24*C$8)</f>
        <v>2.2487999958684668E-2</v>
      </c>
      <c r="K24">
        <f>+G24</f>
        <v>2.2487999958684668E-2</v>
      </c>
      <c r="O24">
        <f ca="1">+C$11+C$12*$F24</f>
        <v>2.3254641855896978E-2</v>
      </c>
      <c r="Q24" s="2">
        <f>+C24-15018.5</f>
        <v>44315.959999999963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V23">
    <sortCondition ref="C21:C23"/>
  </sortState>
  <phoneticPr fontId="8" type="noConversion"/>
  <hyperlinks>
    <hyperlink ref="H2018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2023-01-26T06:41:56Z</dcterms:modified>
</cp:coreProperties>
</file>