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9529E28D-F3D0-4855-A874-F0BD89022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31" i="1" l="1"/>
  <c r="E109" i="1"/>
  <c r="F109" i="1" s="1"/>
  <c r="G109" i="1" s="1"/>
  <c r="K109" i="1" s="1"/>
  <c r="Q109" i="1"/>
  <c r="E111" i="1"/>
  <c r="F111" i="1"/>
  <c r="G111" i="1" s="1"/>
  <c r="K111" i="1" s="1"/>
  <c r="Q111" i="1"/>
  <c r="E113" i="1"/>
  <c r="F113" i="1" s="1"/>
  <c r="G113" i="1" s="1"/>
  <c r="K113" i="1" s="1"/>
  <c r="Q113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E112" i="1"/>
  <c r="F112" i="1"/>
  <c r="G112" i="1" s="1"/>
  <c r="K112" i="1" s="1"/>
  <c r="Q112" i="1"/>
  <c r="E114" i="1"/>
  <c r="F114" i="1" s="1"/>
  <c r="G114" i="1" s="1"/>
  <c r="K114" i="1" s="1"/>
  <c r="Q114" i="1"/>
  <c r="E108" i="1"/>
  <c r="F108" i="1" s="1"/>
  <c r="G108" i="1" s="1"/>
  <c r="K108" i="1" s="1"/>
  <c r="Q106" i="1"/>
  <c r="Q107" i="1"/>
  <c r="Q108" i="1"/>
  <c r="Q110" i="1"/>
  <c r="Q105" i="1"/>
  <c r="E101" i="1"/>
  <c r="F101" i="1" s="1"/>
  <c r="G101" i="1" s="1"/>
  <c r="K101" i="1" s="1"/>
  <c r="Q101" i="1"/>
  <c r="Q102" i="1"/>
  <c r="E103" i="1"/>
  <c r="F103" i="1" s="1"/>
  <c r="G103" i="1" s="1"/>
  <c r="K103" i="1" s="1"/>
  <c r="Q103" i="1"/>
  <c r="Q104" i="1"/>
  <c r="C7" i="1"/>
  <c r="E106" i="1"/>
  <c r="F106" i="1"/>
  <c r="G106" i="1" s="1"/>
  <c r="K106" i="1" s="1"/>
  <c r="C8" i="1"/>
  <c r="E21" i="1"/>
  <c r="F21" i="1" s="1"/>
  <c r="G21" i="1" s="1"/>
  <c r="H21" i="1" s="1"/>
  <c r="E23" i="1"/>
  <c r="F23" i="1" s="1"/>
  <c r="G23" i="1" s="1"/>
  <c r="H23" i="1" s="1"/>
  <c r="E25" i="1"/>
  <c r="F25" i="1" s="1"/>
  <c r="G25" i="1" s="1"/>
  <c r="H25" i="1" s="1"/>
  <c r="E27" i="1"/>
  <c r="F27" i="1" s="1"/>
  <c r="G27" i="1" s="1"/>
  <c r="I27" i="1" s="1"/>
  <c r="E29" i="1"/>
  <c r="F29" i="1" s="1"/>
  <c r="G29" i="1" s="1"/>
  <c r="I29" i="1" s="1"/>
  <c r="E32" i="1"/>
  <c r="F32" i="1" s="1"/>
  <c r="G32" i="1" s="1"/>
  <c r="I32" i="1" s="1"/>
  <c r="E34" i="1"/>
  <c r="F34" i="1" s="1"/>
  <c r="G34" i="1" s="1"/>
  <c r="I34" i="1" s="1"/>
  <c r="E36" i="1"/>
  <c r="F36" i="1" s="1"/>
  <c r="G36" i="1" s="1"/>
  <c r="I36" i="1" s="1"/>
  <c r="E38" i="1"/>
  <c r="F38" i="1" s="1"/>
  <c r="G38" i="1" s="1"/>
  <c r="I38" i="1" s="1"/>
  <c r="E40" i="1"/>
  <c r="F40" i="1" s="1"/>
  <c r="G40" i="1" s="1"/>
  <c r="I40" i="1" s="1"/>
  <c r="E42" i="1"/>
  <c r="F42" i="1" s="1"/>
  <c r="G42" i="1" s="1"/>
  <c r="I42" i="1" s="1"/>
  <c r="E44" i="1"/>
  <c r="F44" i="1" s="1"/>
  <c r="G44" i="1" s="1"/>
  <c r="I44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9" i="1"/>
  <c r="F79" i="1" s="1"/>
  <c r="G79" i="1" s="1"/>
  <c r="I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6" i="1"/>
  <c r="F86" i="1" s="1"/>
  <c r="G86" i="1" s="1"/>
  <c r="K86" i="1" s="1"/>
  <c r="E87" i="1"/>
  <c r="F87" i="1" s="1"/>
  <c r="G87" i="1" s="1"/>
  <c r="K87" i="1" s="1"/>
  <c r="E97" i="1"/>
  <c r="F97" i="1"/>
  <c r="G97" i="1" s="1"/>
  <c r="K97" i="1" s="1"/>
  <c r="E98" i="1"/>
  <c r="F98" i="1" s="1"/>
  <c r="G98" i="1" s="1"/>
  <c r="K98" i="1" s="1"/>
  <c r="E85" i="1"/>
  <c r="F85" i="1" s="1"/>
  <c r="G85" i="1" s="1"/>
  <c r="K85" i="1" s="1"/>
  <c r="E100" i="1"/>
  <c r="F100" i="1"/>
  <c r="G100" i="1" s="1"/>
  <c r="K100" i="1" s="1"/>
  <c r="E73" i="1"/>
  <c r="F73" i="1" s="1"/>
  <c r="G73" i="1" s="1"/>
  <c r="J73" i="1" s="1"/>
  <c r="E74" i="1"/>
  <c r="F74" i="1" s="1"/>
  <c r="G74" i="1" s="1"/>
  <c r="J74" i="1" s="1"/>
  <c r="E75" i="1"/>
  <c r="F75" i="1"/>
  <c r="G75" i="1" s="1"/>
  <c r="J75" i="1" s="1"/>
  <c r="E76" i="1"/>
  <c r="F76" i="1" s="1"/>
  <c r="G76" i="1" s="1"/>
  <c r="J76" i="1" s="1"/>
  <c r="E77" i="1"/>
  <c r="F77" i="1" s="1"/>
  <c r="G77" i="1" s="1"/>
  <c r="J77" i="1" s="1"/>
  <c r="E78" i="1"/>
  <c r="F78" i="1" s="1"/>
  <c r="G78" i="1" s="1"/>
  <c r="J78" i="1" s="1"/>
  <c r="E94" i="1"/>
  <c r="F94" i="1" s="1"/>
  <c r="G94" i="1" s="1"/>
  <c r="J94" i="1" s="1"/>
  <c r="E96" i="1"/>
  <c r="F96" i="1" s="1"/>
  <c r="G96" i="1" s="1"/>
  <c r="J96" i="1" s="1"/>
  <c r="E99" i="1"/>
  <c r="F99" i="1"/>
  <c r="G99" i="1" s="1"/>
  <c r="K99" i="1" s="1"/>
  <c r="E88" i="1"/>
  <c r="F88" i="1"/>
  <c r="E89" i="1"/>
  <c r="F89" i="1" s="1"/>
  <c r="G89" i="1" s="1"/>
  <c r="K89" i="1" s="1"/>
  <c r="E90" i="1"/>
  <c r="F90" i="1" s="1"/>
  <c r="G90" i="1" s="1"/>
  <c r="K90" i="1" s="1"/>
  <c r="E91" i="1"/>
  <c r="F91" i="1"/>
  <c r="G91" i="1" s="1"/>
  <c r="K91" i="1" s="1"/>
  <c r="E92" i="1"/>
  <c r="F92" i="1" s="1"/>
  <c r="G92" i="1" s="1"/>
  <c r="K92" i="1" s="1"/>
  <c r="E93" i="1"/>
  <c r="F93" i="1" s="1"/>
  <c r="G93" i="1" s="1"/>
  <c r="K93" i="1" s="1"/>
  <c r="E95" i="1"/>
  <c r="F95" i="1" s="1"/>
  <c r="G95" i="1" s="1"/>
  <c r="K95" i="1" s="1"/>
  <c r="D9" i="1"/>
  <c r="C9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9" i="1"/>
  <c r="Q80" i="1"/>
  <c r="Q81" i="1"/>
  <c r="Q82" i="1"/>
  <c r="Q83" i="1"/>
  <c r="Q84" i="1"/>
  <c r="Q86" i="1"/>
  <c r="Q87" i="1"/>
  <c r="Q97" i="1"/>
  <c r="G28" i="2"/>
  <c r="C28" i="2"/>
  <c r="G27" i="2"/>
  <c r="C27" i="2"/>
  <c r="G89" i="2"/>
  <c r="C89" i="2"/>
  <c r="G88" i="2"/>
  <c r="C88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87" i="2"/>
  <c r="C87" i="2"/>
  <c r="G86" i="2"/>
  <c r="C86" i="2"/>
  <c r="G17" i="2"/>
  <c r="C17" i="2"/>
  <c r="G85" i="2"/>
  <c r="C85" i="2"/>
  <c r="G84" i="2"/>
  <c r="C84" i="2"/>
  <c r="G83" i="2"/>
  <c r="C83" i="2"/>
  <c r="G82" i="2"/>
  <c r="C82" i="2"/>
  <c r="G81" i="2"/>
  <c r="C81" i="2"/>
  <c r="G80" i="2"/>
  <c r="C80" i="2"/>
  <c r="G16" i="2"/>
  <c r="C16" i="2"/>
  <c r="G15" i="2"/>
  <c r="C15" i="2"/>
  <c r="G14" i="2"/>
  <c r="C14" i="2"/>
  <c r="G13" i="2"/>
  <c r="C13" i="2"/>
  <c r="G12" i="2"/>
  <c r="C12" i="2"/>
  <c r="G11" i="2"/>
  <c r="C11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E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H28" i="2"/>
  <c r="B28" i="2"/>
  <c r="D28" i="2"/>
  <c r="A28" i="2"/>
  <c r="H27" i="2"/>
  <c r="B27" i="2"/>
  <c r="D27" i="2"/>
  <c r="A27" i="2"/>
  <c r="H89" i="2"/>
  <c r="B89" i="2"/>
  <c r="D89" i="2"/>
  <c r="A89" i="2"/>
  <c r="H88" i="2"/>
  <c r="B88" i="2"/>
  <c r="D88" i="2"/>
  <c r="A88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F23" i="2"/>
  <c r="D23" i="2"/>
  <c r="B23" i="2"/>
  <c r="A23" i="2"/>
  <c r="H22" i="2"/>
  <c r="B22" i="2"/>
  <c r="F22" i="2"/>
  <c r="D22" i="2"/>
  <c r="A22" i="2"/>
  <c r="H21" i="2"/>
  <c r="B21" i="2"/>
  <c r="F21" i="2"/>
  <c r="D21" i="2"/>
  <c r="A21" i="2"/>
  <c r="H20" i="2"/>
  <c r="B20" i="2"/>
  <c r="F20" i="2"/>
  <c r="D20" i="2"/>
  <c r="A20" i="2"/>
  <c r="H19" i="2"/>
  <c r="F19" i="2"/>
  <c r="D19" i="2"/>
  <c r="B19" i="2"/>
  <c r="A19" i="2"/>
  <c r="H18" i="2"/>
  <c r="D18" i="2"/>
  <c r="B18" i="2"/>
  <c r="A18" i="2"/>
  <c r="H87" i="2"/>
  <c r="B87" i="2"/>
  <c r="D87" i="2"/>
  <c r="A87" i="2"/>
  <c r="H86" i="2"/>
  <c r="D86" i="2"/>
  <c r="B86" i="2"/>
  <c r="A86" i="2"/>
  <c r="H17" i="2"/>
  <c r="B17" i="2"/>
  <c r="D17" i="2"/>
  <c r="A17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100" i="1"/>
  <c r="Q98" i="1"/>
  <c r="Q85" i="1"/>
  <c r="Q99" i="1"/>
  <c r="Q93" i="1"/>
  <c r="Q95" i="1"/>
  <c r="Q88" i="1"/>
  <c r="Q89" i="1"/>
  <c r="Q90" i="1"/>
  <c r="Q91" i="1"/>
  <c r="Q92" i="1"/>
  <c r="F16" i="1"/>
  <c r="F17" i="1" s="1"/>
  <c r="Q94" i="1"/>
  <c r="Q96" i="1"/>
  <c r="Q73" i="1"/>
  <c r="Q74" i="1"/>
  <c r="Q75" i="1"/>
  <c r="Q76" i="1"/>
  <c r="Q77" i="1"/>
  <c r="Q78" i="1"/>
  <c r="E30" i="1"/>
  <c r="F30" i="1"/>
  <c r="G30" i="1" s="1"/>
  <c r="I30" i="1" s="1"/>
  <c r="E24" i="1"/>
  <c r="F24" i="1"/>
  <c r="G24" i="1" s="1"/>
  <c r="H24" i="1" s="1"/>
  <c r="E28" i="1"/>
  <c r="F28" i="1" s="1"/>
  <c r="G28" i="1" s="1"/>
  <c r="I28" i="1" s="1"/>
  <c r="E41" i="1"/>
  <c r="F41" i="1" s="1"/>
  <c r="G41" i="1" s="1"/>
  <c r="I41" i="1" s="1"/>
  <c r="E45" i="1"/>
  <c r="F45" i="1" s="1"/>
  <c r="G45" i="1" s="1"/>
  <c r="I45" i="1" s="1"/>
  <c r="E32" i="2"/>
  <c r="E37" i="1"/>
  <c r="F37" i="1" s="1"/>
  <c r="G37" i="1" s="1"/>
  <c r="I37" i="1" s="1"/>
  <c r="E33" i="1"/>
  <c r="F33" i="1" s="1"/>
  <c r="G33" i="1" s="1"/>
  <c r="I33" i="1" s="1"/>
  <c r="E43" i="1"/>
  <c r="F43" i="1" s="1"/>
  <c r="G43" i="1" s="1"/>
  <c r="I43" i="1" s="1"/>
  <c r="E39" i="1"/>
  <c r="F39" i="1" s="1"/>
  <c r="G39" i="1" s="1"/>
  <c r="I39" i="1" s="1"/>
  <c r="E35" i="1"/>
  <c r="F35" i="1" s="1"/>
  <c r="G35" i="1" s="1"/>
  <c r="I35" i="1" s="1"/>
  <c r="E26" i="1"/>
  <c r="F26" i="1" s="1"/>
  <c r="G26" i="1" s="1"/>
  <c r="I26" i="1" s="1"/>
  <c r="E22" i="1"/>
  <c r="F22" i="1" s="1"/>
  <c r="G22" i="1" s="1"/>
  <c r="H22" i="1" s="1"/>
  <c r="E38" i="2"/>
  <c r="E36" i="2"/>
  <c r="E40" i="2"/>
  <c r="E107" i="1"/>
  <c r="F107" i="1" s="1"/>
  <c r="G107" i="1" s="1"/>
  <c r="K107" i="1" s="1"/>
  <c r="E102" i="1"/>
  <c r="F102" i="1" s="1"/>
  <c r="G102" i="1" s="1"/>
  <c r="K102" i="1" s="1"/>
  <c r="E105" i="1"/>
  <c r="F105" i="1"/>
  <c r="G105" i="1" s="1"/>
  <c r="K105" i="1" s="1"/>
  <c r="E110" i="1"/>
  <c r="F110" i="1"/>
  <c r="G110" i="1"/>
  <c r="K110" i="1" s="1"/>
  <c r="G88" i="1"/>
  <c r="K88" i="1" s="1"/>
  <c r="E104" i="1"/>
  <c r="F104" i="1"/>
  <c r="G104" i="1" s="1"/>
  <c r="K104" i="1" s="1"/>
  <c r="C11" i="1"/>
  <c r="C12" i="1"/>
  <c r="E35" i="2" l="1"/>
  <c r="E34" i="2"/>
  <c r="E30" i="2"/>
  <c r="O113" i="1"/>
  <c r="O118" i="1"/>
  <c r="O109" i="1"/>
  <c r="O111" i="1"/>
  <c r="O117" i="1"/>
  <c r="O116" i="1"/>
  <c r="O115" i="1"/>
  <c r="C16" i="1"/>
  <c r="D18" i="1" s="1"/>
  <c r="O98" i="1"/>
  <c r="O106" i="1"/>
  <c r="O97" i="1"/>
  <c r="O85" i="1"/>
  <c r="O22" i="1"/>
  <c r="O51" i="1"/>
  <c r="O88" i="1"/>
  <c r="O82" i="1"/>
  <c r="O60" i="1"/>
  <c r="O103" i="1"/>
  <c r="O86" i="1"/>
  <c r="O112" i="1"/>
  <c r="O78" i="1"/>
  <c r="O47" i="1"/>
  <c r="O39" i="1"/>
  <c r="O54" i="1"/>
  <c r="O64" i="1"/>
  <c r="O101" i="1"/>
  <c r="O84" i="1"/>
  <c r="O42" i="1"/>
  <c r="O69" i="1"/>
  <c r="O23" i="1"/>
  <c r="O73" i="1"/>
  <c r="O68" i="1"/>
  <c r="O93" i="1"/>
  <c r="O25" i="1"/>
  <c r="O94" i="1"/>
  <c r="O49" i="1"/>
  <c r="O48" i="1"/>
  <c r="O58" i="1"/>
  <c r="O76" i="1"/>
  <c r="O77" i="1"/>
  <c r="O59" i="1"/>
  <c r="O108" i="1"/>
  <c r="O70" i="1"/>
  <c r="O95" i="1"/>
  <c r="O45" i="1"/>
  <c r="O55" i="1"/>
  <c r="O74" i="1"/>
  <c r="O53" i="1"/>
  <c r="O66" i="1"/>
  <c r="O102" i="1"/>
  <c r="O89" i="1"/>
  <c r="O29" i="1"/>
  <c r="O35" i="1"/>
  <c r="O90" i="1"/>
  <c r="O46" i="1"/>
  <c r="O63" i="1"/>
  <c r="O27" i="1"/>
  <c r="O80" i="1"/>
  <c r="O32" i="1"/>
  <c r="O57" i="1"/>
  <c r="O99" i="1"/>
  <c r="O56" i="1"/>
  <c r="O44" i="1"/>
  <c r="O81" i="1"/>
  <c r="O104" i="1"/>
  <c r="O72" i="1"/>
  <c r="O83" i="1"/>
  <c r="O114" i="1"/>
  <c r="O65" i="1"/>
  <c r="O61" i="1"/>
  <c r="O110" i="1"/>
  <c r="O36" i="1"/>
  <c r="O34" i="1"/>
  <c r="O91" i="1"/>
  <c r="O30" i="1"/>
  <c r="O67" i="1"/>
  <c r="O107" i="1"/>
  <c r="O62" i="1"/>
  <c r="O28" i="1"/>
  <c r="O92" i="1"/>
  <c r="O43" i="1"/>
  <c r="O33" i="1"/>
  <c r="O37" i="1"/>
  <c r="O100" i="1"/>
  <c r="O50" i="1"/>
  <c r="O41" i="1"/>
  <c r="O79" i="1"/>
  <c r="O21" i="1"/>
  <c r="O71" i="1"/>
  <c r="O40" i="1"/>
  <c r="O75" i="1"/>
  <c r="O38" i="1"/>
  <c r="O105" i="1"/>
  <c r="O52" i="1"/>
  <c r="O96" i="1"/>
  <c r="O87" i="1"/>
  <c r="O26" i="1"/>
  <c r="O24" i="1"/>
  <c r="E31" i="1" l="1"/>
  <c r="F31" i="1" s="1"/>
  <c r="E44" i="2"/>
  <c r="E27" i="2"/>
  <c r="E70" i="2"/>
  <c r="E42" i="2"/>
  <c r="E52" i="2"/>
  <c r="E13" i="2"/>
  <c r="E45" i="2"/>
  <c r="E57" i="2"/>
  <c r="E65" i="2"/>
  <c r="E73" i="2"/>
  <c r="E12" i="2"/>
  <c r="E15" i="2"/>
  <c r="E24" i="2"/>
  <c r="E88" i="2"/>
  <c r="E75" i="2"/>
  <c r="E54" i="2"/>
  <c r="E17" i="2"/>
  <c r="E26" i="2"/>
  <c r="Q31" i="1"/>
  <c r="E60" i="2"/>
  <c r="E68" i="2"/>
  <c r="E76" i="2"/>
  <c r="E81" i="2"/>
  <c r="E28" i="2"/>
  <c r="E59" i="2"/>
  <c r="E46" i="2"/>
  <c r="E49" i="2"/>
  <c r="E55" i="2"/>
  <c r="E63" i="2"/>
  <c r="E71" i="2"/>
  <c r="E79" i="2"/>
  <c r="E86" i="2"/>
  <c r="E19" i="2"/>
  <c r="E22" i="2"/>
  <c r="E18" i="2"/>
  <c r="E67" i="2"/>
  <c r="E84" i="2"/>
  <c r="E51" i="2"/>
  <c r="E78" i="2"/>
  <c r="E43" i="2"/>
  <c r="E58" i="2"/>
  <c r="E66" i="2"/>
  <c r="E74" i="2"/>
  <c r="E16" i="2"/>
  <c r="E25" i="2"/>
  <c r="E89" i="2"/>
  <c r="E62" i="2"/>
  <c r="E53" i="2"/>
  <c r="E61" i="2"/>
  <c r="E69" i="2"/>
  <c r="E77" i="2"/>
  <c r="E82" i="2"/>
  <c r="E85" i="2"/>
  <c r="E48" i="2"/>
  <c r="E80" i="2"/>
  <c r="E50" i="2"/>
  <c r="E83" i="2"/>
  <c r="E21" i="2"/>
  <c r="E47" i="2"/>
  <c r="E56" i="2"/>
  <c r="E64" i="2"/>
  <c r="E72" i="2"/>
  <c r="E11" i="2"/>
  <c r="E14" i="2"/>
  <c r="E87" i="2"/>
  <c r="E20" i="2"/>
  <c r="C17" i="1"/>
  <c r="E23" i="2"/>
  <c r="O31" i="1" l="1"/>
  <c r="G31" i="1"/>
  <c r="J31" i="1" s="1"/>
  <c r="C15" i="1"/>
  <c r="F18" i="1" l="1"/>
  <c r="F19" i="1" s="1"/>
  <c r="C18" i="1"/>
</calcChain>
</file>

<file path=xl/sharedStrings.xml><?xml version="1.0" encoding="utf-8"?>
<sst xmlns="http://schemas.openxmlformats.org/spreadsheetml/2006/main" count="885" uniqueCount="348">
  <si>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</si>
  <si>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</si>
  <si>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</si>
  <si>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</si>
  <si>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</si>
  <si>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</si>
  <si>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</si>
  <si>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</si>
  <si>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</si>
  <si>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</si>
  <si>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</si>
  <si>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</si>
  <si>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</si>
  <si>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</si>
  <si>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</si>
  <si>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</si>
  <si>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</si>
  <si>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</si>
  <si>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</si>
  <si>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</si>
  <si>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</si>
  <si>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</si>
  <si>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</si>
  <si>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</si>
  <si>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</si>
  <si>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</si>
  <si>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</si>
  <si>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</si>
  <si>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5016</t>
  </si>
  <si>
    <t>II</t>
  </si>
  <si>
    <t># of data points:</t>
  </si>
  <si>
    <t xml:space="preserve">EB/DM     </t>
  </si>
  <si>
    <t>DL Cep / GSC 3981-0522</t>
  </si>
  <si>
    <t>Ref: 1999A&amp;AS..134..255K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</si>
  <si>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</si>
  <si>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</si>
  <si>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</si>
  <si>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</si>
  <si>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</si>
  <si>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</si>
  <si>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</si>
  <si>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6010</t>
  </si>
  <si>
    <t>I</t>
  </si>
  <si>
    <t>Add cycle</t>
  </si>
  <si>
    <t>Old Cycle</t>
  </si>
  <si>
    <t>JAVSO..39...94</t>
  </si>
  <si>
    <t>JAVSO..40....1</t>
  </si>
  <si>
    <t>JAVSO..36..186</t>
  </si>
  <si>
    <t>JAVSO..37...44</t>
  </si>
  <si>
    <t>JAVSO..38..183</t>
  </si>
  <si>
    <t>BAD</t>
  </si>
  <si>
    <t>IBVS 6042</t>
  </si>
  <si>
    <t>2013JAVSO..41..328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</si>
  <si>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</si>
  <si>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</si>
  <si>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</si>
  <si>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</si>
  <si>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</si>
  <si>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</si>
  <si>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</si>
  <si>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</si>
  <si>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</si>
  <si>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</si>
  <si>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</si>
  <si>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</si>
  <si>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</si>
  <si>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</si>
  <si>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2426332.247 </t>
  </si>
  <si>
    <t> 21.12.1930 17:55 </t>
  </si>
  <si>
    <t> 0.801 </t>
  </si>
  <si>
    <t>P </t>
  </si>
  <si>
    <t> O.Morgenroth </t>
  </si>
  <si>
    <t> AN 256.283 </t>
  </si>
  <si>
    <t>2426350.222 </t>
  </si>
  <si>
    <t> 08.01.1931 17:19 </t>
  </si>
  <si>
    <t> 0.840 </t>
  </si>
  <si>
    <t>2426627.427 </t>
  </si>
  <si>
    <t> 12.10.1931 22:14 </t>
  </si>
  <si>
    <t> 0.863 </t>
  </si>
  <si>
    <t>2428239.908 </t>
  </si>
  <si>
    <t> 12.03.1936 09:47 </t>
  </si>
  <si>
    <t> 0.799 </t>
  </si>
  <si>
    <t> H.Albo </t>
  </si>
  <si>
    <t> PTAO 34.212 </t>
  </si>
  <si>
    <t>2428304.345 </t>
  </si>
  <si>
    <t> 15.05.1936 20:16 </t>
  </si>
  <si>
    <t> 0.832 </t>
  </si>
  <si>
    <t>2433364.551 </t>
  </si>
  <si>
    <t> 24.03.1950 01:13 </t>
  </si>
  <si>
    <t> 0.025 </t>
  </si>
  <si>
    <t> PZ 9.208 </t>
  </si>
  <si>
    <t>2433589.485 </t>
  </si>
  <si>
    <t> 03.11.1950 23:38 </t>
  </si>
  <si>
    <t> -0.048 </t>
  </si>
  <si>
    <t>2433718.266 </t>
  </si>
  <si>
    <t> 12.03.1951 18:23 </t>
  </si>
  <si>
    <t> -0.075 </t>
  </si>
  <si>
    <t>2433844.698 </t>
  </si>
  <si>
    <t> 17.07.1951 04:45 </t>
  </si>
  <si>
    <t> -0.005 </t>
  </si>
  <si>
    <t>2433946.529 </t>
  </si>
  <si>
    <t> 27.10.1951 00:41 </t>
  </si>
  <si>
    <t> -0.079 </t>
  </si>
  <si>
    <t>2433946.630 </t>
  </si>
  <si>
    <t> 27.10.1951 03:07 </t>
  </si>
  <si>
    <t> 0.022 </t>
  </si>
  <si>
    <t>2434036.245 </t>
  </si>
  <si>
    <t> 24.01.1952 17:52 </t>
  </si>
  <si>
    <t> -0.039 </t>
  </si>
  <si>
    <t>2434078.616 </t>
  </si>
  <si>
    <t> 07.03.1952 02:47 </t>
  </si>
  <si>
    <t> -0.061 </t>
  </si>
  <si>
    <t>2434096.560 </t>
  </si>
  <si>
    <t> 25.03.1952 01:26 </t>
  </si>
  <si>
    <t> -0.052 </t>
  </si>
  <si>
    <t>2434098.302 </t>
  </si>
  <si>
    <t> 26.03.1952 19:14 </t>
  </si>
  <si>
    <t> 0.059 </t>
  </si>
  <si>
    <t>2434114.528 </t>
  </si>
  <si>
    <t> 12.04.1952 00:40 </t>
  </si>
  <si>
    <t> -0.020 </t>
  </si>
  <si>
    <t>2434119.433 </t>
  </si>
  <si>
    <t> 16.04.1952 22:23 </t>
  </si>
  <si>
    <t> -0.006 </t>
  </si>
  <si>
    <t>2434119.485 </t>
  </si>
  <si>
    <t> 16.04.1952 23:38 </t>
  </si>
  <si>
    <t> 0.046 </t>
  </si>
  <si>
    <t>2434419.442 </t>
  </si>
  <si>
    <t> 10.02.1953 22:36 </t>
  </si>
  <si>
    <t>2434485.479 </t>
  </si>
  <si>
    <t> 17.04.1953 23:29 </t>
  </si>
  <si>
    <t>2435023.540 </t>
  </si>
  <si>
    <t> 08.10.1954 00:57 </t>
  </si>
  <si>
    <t> -0.001 </t>
  </si>
  <si>
    <t>2435145.016 </t>
  </si>
  <si>
    <t> 06.02.1955 12:23 </t>
  </si>
  <si>
    <t> 0.004 </t>
  </si>
  <si>
    <t>2436780.418 </t>
  </si>
  <si>
    <t> 30.07.1959 22:01 </t>
  </si>
  <si>
    <t> 0.034 </t>
  </si>
  <si>
    <t> G.Romano </t>
  </si>
  <si>
    <t> MSAI 37.260 </t>
  </si>
  <si>
    <t>2436806.390 </t>
  </si>
  <si>
    <t> 25.08.1959 21:21 </t>
  </si>
  <si>
    <t> -0.082 </t>
  </si>
  <si>
    <t>2436842.341 </t>
  </si>
  <si>
    <t> 30.09.1959 20:11 </t>
  </si>
  <si>
    <t>2436896.217 </t>
  </si>
  <si>
    <t> 23.11.1959 17:12 </t>
  </si>
  <si>
    <t> 0.069 </t>
  </si>
  <si>
    <t>2436922.232 </t>
  </si>
  <si>
    <t> 19.12.1959 17:34 </t>
  </si>
  <si>
    <t> -0.004 </t>
  </si>
  <si>
    <t>2437116.395 </t>
  </si>
  <si>
    <t> 30.06.1960 21:28 </t>
  </si>
  <si>
    <t> 0.132 </t>
  </si>
  <si>
    <t>2437168.434 </t>
  </si>
  <si>
    <t> 21.08.1960 22:24 </t>
  </si>
  <si>
    <t>2437173.356 </t>
  </si>
  <si>
    <t> 26.08.1960 20:32 </t>
  </si>
  <si>
    <t> 0.026 </t>
  </si>
  <si>
    <t>2437253.224 </t>
  </si>
  <si>
    <t> 14.11.1960 17:22 </t>
  </si>
  <si>
    <t> 0.001 </t>
  </si>
  <si>
    <t>2437468.422 </t>
  </si>
  <si>
    <t> 17.06.1961 22:07 </t>
  </si>
  <si>
    <t> -0.025 </t>
  </si>
  <si>
    <t>2437499.461 </t>
  </si>
  <si>
    <t> 18.07.1961 23:03 </t>
  </si>
  <si>
    <t> 0.035 </t>
  </si>
  <si>
    <t>2437517.375 </t>
  </si>
  <si>
    <t> 05.08.1961 21:00 </t>
  </si>
  <si>
    <t> 0.014 </t>
  </si>
  <si>
    <t>2437548.406 </t>
  </si>
  <si>
    <t> 05.09.1961 21:44 </t>
  </si>
  <si>
    <t> 0.065 </t>
  </si>
  <si>
    <t>2437584.252 </t>
  </si>
  <si>
    <t> 11.10.1961 18:02 </t>
  </si>
  <si>
    <t> 0.041 </t>
  </si>
  <si>
    <t>2437615.223 </t>
  </si>
  <si>
    <t> 11.11.1961 17:21 </t>
  </si>
  <si>
    <t> 0.033 </t>
  </si>
  <si>
    <t>2437641.208 </t>
  </si>
  <si>
    <t> 07.12.1961 16:59 </t>
  </si>
  <si>
    <t> -0.070 </t>
  </si>
  <si>
    <t>2437659.220 </t>
  </si>
  <si>
    <t> 25.12.1961 17:16 </t>
  </si>
  <si>
    <t> 0.007 </t>
  </si>
  <si>
    <t>2437928.310 </t>
  </si>
  <si>
    <t> 20.09.1962 19:26 </t>
  </si>
  <si>
    <t> 0.067 </t>
  </si>
  <si>
    <t>2438316.320 </t>
  </si>
  <si>
    <t> 13.10.1963 19:40 </t>
  </si>
  <si>
    <t> 0.023 </t>
  </si>
  <si>
    <t>2443096.864 </t>
  </si>
  <si>
    <t> 14.11.1976 08:44 </t>
  </si>
  <si>
    <t>V </t>
  </si>
  <si>
    <t> D.Ruokonen </t>
  </si>
  <si>
    <t> AOEB 8 </t>
  </si>
  <si>
    <t>2443096.868 </t>
  </si>
  <si>
    <t> 14.11.1976 08:49 </t>
  </si>
  <si>
    <t> G.Wedemayer </t>
  </si>
  <si>
    <t>2443326.772 </t>
  </si>
  <si>
    <t> 02.07.1977 06:31 </t>
  </si>
  <si>
    <t> G.Samolyk </t>
  </si>
  <si>
    <t>2443701.771 </t>
  </si>
  <si>
    <t> 12.07.1978 06:30 </t>
  </si>
  <si>
    <t>2444081.694 </t>
  </si>
  <si>
    <t> 27.07.1979 04:39 </t>
  </si>
  <si>
    <t> 0.016 </t>
  </si>
  <si>
    <t>2444593.657 </t>
  </si>
  <si>
    <t> 20.12.1980 03:46 </t>
  </si>
  <si>
    <t> 0.008 </t>
  </si>
  <si>
    <t>2445193.678 </t>
  </si>
  <si>
    <t> 12.08.1982 04:16 </t>
  </si>
  <si>
    <t> 0.012 </t>
  </si>
  <si>
    <t>2445643.687 </t>
  </si>
  <si>
    <t> 05.11.1983 04:29 </t>
  </si>
  <si>
    <t>2446804.607 </t>
  </si>
  <si>
    <t> 09.01.1987 02:34 </t>
  </si>
  <si>
    <t>2447681.792 </t>
  </si>
  <si>
    <t> 04.06.1989 07:00 </t>
  </si>
  <si>
    <t>2449933.5164 </t>
  </si>
  <si>
    <t> 04.08.1995 00:23 </t>
  </si>
  <si>
    <t> 0.0422 </t>
  </si>
  <si>
    <t>E </t>
  </si>
  <si>
    <t>o</t>
  </si>
  <si>
    <t> W.Moschner </t>
  </si>
  <si>
    <t>BAVM 132 </t>
  </si>
  <si>
    <t>2449951.4493 </t>
  </si>
  <si>
    <t> 21.08.1995 22:46 </t>
  </si>
  <si>
    <t> 0.0398 </t>
  </si>
  <si>
    <t> J. &amp; W.Moschner </t>
  </si>
  <si>
    <t>2450000.3616 </t>
  </si>
  <si>
    <t> 09.10.1995 20:40 </t>
  </si>
  <si>
    <t> 0.0377 </t>
  </si>
  <si>
    <t>2450005.2539 </t>
  </si>
  <si>
    <t> 14.10.1995 18:05 </t>
  </si>
  <si>
    <t> 0.0385 </t>
  </si>
  <si>
    <t>2450022.3774 </t>
  </si>
  <si>
    <t> 31.10.1995 21:03 </t>
  </si>
  <si>
    <t> 0.0420 </t>
  </si>
  <si>
    <t>2450750.3864 </t>
  </si>
  <si>
    <t> 28.10.1997 21:16 </t>
  </si>
  <si>
    <t> 0.0412 </t>
  </si>
  <si>
    <t>2451842.812 </t>
  </si>
  <si>
    <t> 25.10.2000 07:29 </t>
  </si>
  <si>
    <t> 0.045 </t>
  </si>
  <si>
    <t> R.Hill </t>
  </si>
  <si>
    <t>2452245.5409 </t>
  </si>
  <si>
    <t> 02.12.2001 00:58 </t>
  </si>
  <si>
    <t> 0.0446 </t>
  </si>
  <si>
    <t>C </t>
  </si>
  <si>
    <t>ns</t>
  </si>
  <si>
    <t>2452602.6192 </t>
  </si>
  <si>
    <t> 24.11.2002 02:51 </t>
  </si>
  <si>
    <t> 0.0476 </t>
  </si>
  <si>
    <t> S.Dvorak </t>
  </si>
  <si>
    <t>2452620.5526 </t>
  </si>
  <si>
    <t> 12.12.2002 01:15 </t>
  </si>
  <si>
    <t> 0.0457 </t>
  </si>
  <si>
    <t> G.Lubcke </t>
  </si>
  <si>
    <t>2453197.7442 </t>
  </si>
  <si>
    <t> 11.07.2004 05:51 </t>
  </si>
  <si>
    <t> 0.0470 </t>
  </si>
  <si>
    <t> H.Gerner </t>
  </si>
  <si>
    <t> AOEB 12 </t>
  </si>
  <si>
    <t>2453890.7017 </t>
  </si>
  <si>
    <t> 04.06.2006 04:50 </t>
  </si>
  <si>
    <t> 0.0501 </t>
  </si>
  <si>
    <t>2454001.5746 </t>
  </si>
  <si>
    <t> 23.09.2006 01:47 </t>
  </si>
  <si>
    <t> 0.0503 </t>
  </si>
  <si>
    <t>R</t>
  </si>
  <si>
    <t> JAAVSO 41;328 </t>
  </si>
  <si>
    <t>2454260.8224 </t>
  </si>
  <si>
    <t> 09.06.2007 07:44 </t>
  </si>
  <si>
    <t> 0.0516 </t>
  </si>
  <si>
    <t>2454296.6922 </t>
  </si>
  <si>
    <t> 15.07.2007 04:36 </t>
  </si>
  <si>
    <t> 0.0508 </t>
  </si>
  <si>
    <t>2454596.7026 </t>
  </si>
  <si>
    <t> 10.05.2008 04:51 </t>
  </si>
  <si>
    <t> 0.0527 </t>
  </si>
  <si>
    <t>JAAVSO 36(2);186 </t>
  </si>
  <si>
    <t>2454622.7902 </t>
  </si>
  <si>
    <t> 05.06.2008 06:57 </t>
  </si>
  <si>
    <t> 0.0526 </t>
  </si>
  <si>
    <t> J.Bialozynski </t>
  </si>
  <si>
    <t>2454702.6836 </t>
  </si>
  <si>
    <t> 24.08.2008 04:24 </t>
  </si>
  <si>
    <t> 0.0525 </t>
  </si>
  <si>
    <t>2454751.5979 </t>
  </si>
  <si>
    <t> 12.10.2008 02:20 </t>
  </si>
  <si>
    <t> 0.0523 </t>
  </si>
  <si>
    <t>JAAVSO 37(1),44 </t>
  </si>
  <si>
    <t>2455157.5900 </t>
  </si>
  <si>
    <t> 22.11.2009 02:09 </t>
  </si>
  <si>
    <t> 0.0547 </t>
  </si>
  <si>
    <t> JAAVSO 38;120 </t>
  </si>
  <si>
    <t>2455346.7256 </t>
  </si>
  <si>
    <t> 30.05.2010 05:24 </t>
  </si>
  <si>
    <t> 0.0545 </t>
  </si>
  <si>
    <t> JAAVSO 39;94 </t>
  </si>
  <si>
    <t>2455669.5635 </t>
  </si>
  <si>
    <t> 18.04.2011 01:31 </t>
  </si>
  <si>
    <t> 0.0571 </t>
  </si>
  <si>
    <t> W.Moschner &amp; P.Frank </t>
  </si>
  <si>
    <t>BAVM 220 </t>
  </si>
  <si>
    <t>2455747.8256 </t>
  </si>
  <si>
    <t> 05.07.2011 07:48 </t>
  </si>
  <si>
    <t> 0.0561 </t>
  </si>
  <si>
    <t> JAAVSO 40;975 </t>
  </si>
  <si>
    <t>2455775.5447 </t>
  </si>
  <si>
    <t> 02.08.2011 01:04 </t>
  </si>
  <si>
    <t>-I</t>
  </si>
  <si>
    <t> F.Agerer </t>
  </si>
  <si>
    <t>2455802.4455 </t>
  </si>
  <si>
    <t> 28.08.2011 22:41 </t>
  </si>
  <si>
    <t>13404.5</t>
  </si>
  <si>
    <t> 0.0549 </t>
  </si>
  <si>
    <t>BAVM 225 </t>
  </si>
  <si>
    <t>2456153.8171 </t>
  </si>
  <si>
    <t> 14.08.2012 07:36 </t>
  </si>
  <si>
    <t>13620</t>
  </si>
  <si>
    <t> 0.0579 </t>
  </si>
  <si>
    <t> K.Menzies </t>
  </si>
  <si>
    <t> JAAVSO 41;122 </t>
  </si>
  <si>
    <t>2456220.6692 </t>
  </si>
  <si>
    <t> 20.10.2012 04:03 </t>
  </si>
  <si>
    <t>13661</t>
  </si>
  <si>
    <t> 0.0603 </t>
  </si>
  <si>
    <t> R.Diethelm </t>
  </si>
  <si>
    <t>IBVS 6042 </t>
  </si>
  <si>
    <t>2456497.8494 </t>
  </si>
  <si>
    <t> 24.07.2013 08:23 </t>
  </si>
  <si>
    <t>13831</t>
  </si>
  <si>
    <t> 0.0587 </t>
  </si>
  <si>
    <t>JAVSO..43..238</t>
  </si>
  <si>
    <t>JAVSO..44..164</t>
  </si>
  <si>
    <t>JAVSO..45..121</t>
  </si>
  <si>
    <t>JAVSO..46..184</t>
  </si>
  <si>
    <t>JAVSO..48…87</t>
  </si>
  <si>
    <t>JAVSO 49, 108</t>
  </si>
  <si>
    <t>JAAVSO, 48, 87</t>
  </si>
  <si>
    <t>JAAVSO, 49, 108</t>
  </si>
  <si>
    <t>JAAVSO,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</si>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</sst>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3" fillId="0" borderId="1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3" xfId="0" applyFont="1" applyBorder="1" applyAlignment="1"/>
    <xf numFmtId="0" fontId="9" fillId="0" borderId="4" xfId="0" applyFont="1" applyBorder="1" applyAlignment="1"/>
    <xf numFmtId="0" fontId="0" fillId="0" borderId="0" xfId="0" applyAlignment="1">
      <alignment horizontal="left"/>
    </xf>
    <xf numFmtId="0" fontId="9" fillId="0" borderId="5" xfId="0" applyFont="1" applyBorder="1">
      <alignment vertical="top"/>
    </xf>
    <xf numFmtId="0" fontId="14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10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2" xfId="0" applyFont="1" applyBorder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21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21" fillId="2" borderId="14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18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0" fontId="18" fillId="0" borderId="0" xfId="0" applyFont="1" applyAlignme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165" fontId="26" fillId="0" borderId="0" xfId="0" applyNumberFormat="1" applyFont="1" applyAlignment="1">
      <alignment horizontal="right" vertical="center" wrapText="1"/>
    </xf>
    <xf numFmtId="165" fontId="26" fillId="0" borderId="0" xfId="0" applyNumberFormat="1" applyFont="1" applyAlignment="1">
      <alignment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Cep - O-C Diagr.</a:t>
            </a:r>
          </a:p>
        </c:rich>
      </c:tx>
      <c:layout>
        <c:manualLayout>
          <c:xMode val="edge"/>
          <c:yMode val="edge"/>
          <c:x val="0.37641390948910058"/>
          <c:y val="3.3132376857800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Active!$C$21:$C$1983</c:f>
                <c:numCache>
                  <c:formatCode>General</c:formatCode>
                  <c:ptCount val="1963"/>
                  <c:pt idx="0">
                    <c:v>26332.246999999999</c:v>
                  </c:pt>
                  <c:pt idx="1">
                    <c:v>26350.222000000002</c:v>
                  </c:pt>
                  <c:pt idx="2">
                    <c:v>26627.427</c:v>
                  </c:pt>
                  <c:pt idx="3">
                    <c:v>28239.907999999999</c:v>
                  </c:pt>
                  <c:pt idx="4">
                    <c:v>28304.345000000001</c:v>
                  </c:pt>
                  <c:pt idx="5">
                    <c:v>33364.550999999999</c:v>
                  </c:pt>
                  <c:pt idx="6">
                    <c:v>33589.485000000001</c:v>
                  </c:pt>
                  <c:pt idx="7">
                    <c:v>33718.266000000003</c:v>
                  </c:pt>
                  <c:pt idx="8">
                    <c:v>33844.697999999997</c:v>
                  </c:pt>
                  <c:pt idx="9">
                    <c:v>33946.529000000002</c:v>
                  </c:pt>
                  <c:pt idx="10">
                    <c:v>33946.608</c:v>
                  </c:pt>
                  <c:pt idx="11">
                    <c:v>33946.629999999997</c:v>
                  </c:pt>
                  <c:pt idx="12">
                    <c:v>34036.245000000003</c:v>
                  </c:pt>
                  <c:pt idx="13">
                    <c:v>34078.616000000002</c:v>
                  </c:pt>
                  <c:pt idx="14">
                    <c:v>34096.559999999998</c:v>
                  </c:pt>
                  <c:pt idx="15">
                    <c:v>34098.302000000003</c:v>
                  </c:pt>
                  <c:pt idx="16">
                    <c:v>34114.527999999998</c:v>
                  </c:pt>
                  <c:pt idx="17">
                    <c:v>34119.432999999997</c:v>
                  </c:pt>
                  <c:pt idx="18">
                    <c:v>34119.485000000001</c:v>
                  </c:pt>
                  <c:pt idx="19">
                    <c:v>34419.442000000003</c:v>
                  </c:pt>
                  <c:pt idx="20">
                    <c:v>34485.478999999999</c:v>
                  </c:pt>
                  <c:pt idx="21">
                    <c:v>35023.54</c:v>
                  </c:pt>
                  <c:pt idx="22">
                    <c:v>35145.016000000003</c:v>
                  </c:pt>
                  <c:pt idx="23">
                    <c:v>36780.417999999998</c:v>
                  </c:pt>
                  <c:pt idx="24">
                    <c:v>36806.39</c:v>
                  </c:pt>
                  <c:pt idx="25">
                    <c:v>36842.341</c:v>
                  </c:pt>
                  <c:pt idx="26">
                    <c:v>36896.216999999997</c:v>
                  </c:pt>
                  <c:pt idx="27">
                    <c:v>36922.232000000004</c:v>
                  </c:pt>
                  <c:pt idx="28">
                    <c:v>37116.394999999997</c:v>
                  </c:pt>
                  <c:pt idx="29">
                    <c:v>37168.434000000001</c:v>
                  </c:pt>
                  <c:pt idx="30">
                    <c:v>37173.356</c:v>
                  </c:pt>
                  <c:pt idx="31">
                    <c:v>37253.224000000002</c:v>
                  </c:pt>
                  <c:pt idx="32">
                    <c:v>37468.421999999999</c:v>
                  </c:pt>
                  <c:pt idx="33">
                    <c:v>37499.461000000003</c:v>
                  </c:pt>
                  <c:pt idx="34">
                    <c:v>37517.375</c:v>
                  </c:pt>
                  <c:pt idx="35">
                    <c:v>37548.406000000003</c:v>
                  </c:pt>
                  <c:pt idx="36">
                    <c:v>37584.252</c:v>
                  </c:pt>
                  <c:pt idx="37">
                    <c:v>37615.222999999998</c:v>
                  </c:pt>
                  <c:pt idx="38">
                    <c:v>37641.207999999999</c:v>
                  </c:pt>
                  <c:pt idx="39">
                    <c:v>37659.22</c:v>
                  </c:pt>
                  <c:pt idx="40">
                    <c:v>37928.31</c:v>
                  </c:pt>
                  <c:pt idx="41">
                    <c:v>38316.32</c:v>
                  </c:pt>
                  <c:pt idx="42">
                    <c:v>43096.864000000001</c:v>
                  </c:pt>
                  <c:pt idx="43">
                    <c:v>43096.868000000002</c:v>
                  </c:pt>
                  <c:pt idx="44">
                    <c:v>43326.771999999997</c:v>
                  </c:pt>
                  <c:pt idx="45">
                    <c:v>43701.771000000001</c:v>
                  </c:pt>
                  <c:pt idx="46">
                    <c:v>44081.694000000003</c:v>
                  </c:pt>
                  <c:pt idx="47">
                    <c:v>44593.656999999999</c:v>
                  </c:pt>
                  <c:pt idx="48">
                    <c:v>45193.678</c:v>
                  </c:pt>
                  <c:pt idx="49">
                    <c:v>45643.686999999998</c:v>
                  </c:pt>
                  <c:pt idx="50">
                    <c:v>46804.607000000004</c:v>
                  </c:pt>
                  <c:pt idx="51">
                    <c:v>47681.792000000001</c:v>
                  </c:pt>
                  <c:pt idx="52">
                    <c:v>49933.5164</c:v>
                  </c:pt>
                  <c:pt idx="53">
                    <c:v>49951.4493</c:v>
                  </c:pt>
                  <c:pt idx="54">
                    <c:v>50000.361599999997</c:v>
                  </c:pt>
                  <c:pt idx="55">
                    <c:v>50005.253900000003</c:v>
                  </c:pt>
                  <c:pt idx="56">
                    <c:v>50022.377399999998</c:v>
                  </c:pt>
                  <c:pt idx="57">
                    <c:v>50750.386400000003</c:v>
                  </c:pt>
                  <c:pt idx="58">
                    <c:v>51842.811999999998</c:v>
                  </c:pt>
                  <c:pt idx="59">
                    <c:v>52245.5409</c:v>
                  </c:pt>
                  <c:pt idx="60">
                    <c:v>52602.619200000001</c:v>
                  </c:pt>
                  <c:pt idx="61">
                    <c:v>52620.552600000003</c:v>
                  </c:pt>
                  <c:pt idx="62">
                    <c:v>53197.744200000001</c:v>
                  </c:pt>
                  <c:pt idx="63">
                    <c:v>53890.701699999998</c:v>
                  </c:pt>
                  <c:pt idx="64">
                    <c:v>54001.5746</c:v>
                  </c:pt>
                  <c:pt idx="65">
                    <c:v>54260.822399999997</c:v>
                  </c:pt>
                  <c:pt idx="66">
                    <c:v>54296.692199999998</c:v>
                  </c:pt>
                  <c:pt idx="67">
                    <c:v>54596.702599999997</c:v>
                  </c:pt>
                  <c:pt idx="68">
                    <c:v>54622.790200000003</c:v>
                  </c:pt>
                  <c:pt idx="69">
                    <c:v>54702.683599999997</c:v>
                  </c:pt>
                  <c:pt idx="70">
                    <c:v>54751.597900000001</c:v>
                  </c:pt>
                  <c:pt idx="71">
                    <c:v>55157.59</c:v>
                  </c:pt>
                  <c:pt idx="72">
                    <c:v>55346.725599999998</c:v>
                  </c:pt>
                  <c:pt idx="73">
                    <c:v>55669.563499999997</c:v>
                  </c:pt>
                  <c:pt idx="74">
                    <c:v>55747.825599999996</c:v>
                  </c:pt>
                  <c:pt idx="75">
                    <c:v>55775.544699999999</c:v>
                  </c:pt>
                  <c:pt idx="76">
                    <c:v>55802.445500000002</c:v>
                  </c:pt>
                  <c:pt idx="77">
                    <c:v>56153.817199999998</c:v>
                  </c:pt>
                  <c:pt idx="78">
                    <c:v>56220.669199999997</c:v>
                  </c:pt>
                  <c:pt idx="79">
                    <c:v>56497.849399999999</c:v>
                  </c:pt>
                  <c:pt idx="80">
                    <c:v>57221.789199999999</c:v>
                  </c:pt>
                  <c:pt idx="81">
                    <c:v>57588.647499999999</c:v>
                  </c:pt>
                  <c:pt idx="82">
                    <c:v>57601.6895</c:v>
                  </c:pt>
                  <c:pt idx="83">
                    <c:v>57650.603000000003</c:v>
                  </c:pt>
                  <c:pt idx="84">
                    <c:v>57655.495699999999</c:v>
                  </c:pt>
                  <c:pt idx="85">
                    <c:v>58307.689599999998</c:v>
                  </c:pt>
                  <c:pt idx="86">
                    <c:v>58356.6037</c:v>
                  </c:pt>
                  <c:pt idx="87">
                    <c:v>58723.465300000003</c:v>
                  </c:pt>
                  <c:pt idx="88">
                    <c:v>58723.465300000003</c:v>
                  </c:pt>
                  <c:pt idx="89">
                    <c:v>58754.443099999997</c:v>
                  </c:pt>
                  <c:pt idx="90">
                    <c:v>58754.443099999997</c:v>
                  </c:pt>
                  <c:pt idx="91">
                    <c:v>59075.649100000002</c:v>
                  </c:pt>
                  <c:pt idx="92">
                    <c:v>59075.649100000002</c:v>
                  </c:pt>
                  <c:pt idx="93">
                    <c:v>59155.543400000002</c:v>
                  </c:pt>
                  <c:pt idx="94">
                    <c:v>59155.543400000002</c:v>
                  </c:pt>
                  <c:pt idx="95">
                    <c:v>59540.338000000003</c:v>
                  </c:pt>
                  <c:pt idx="96">
                    <c:v>59548.491399999999</c:v>
                  </c:pt>
                  <c:pt idx="97">
                    <c:v>59789.802600000003</c:v>
                  </c:pt>
                </c:numCache>
              </c:numRef>
            </c:plus>
            <c:minus>
              <c:numRef>
                <c:f>Active!$C$21:$C$1983</c:f>
                <c:numCache>
                  <c:formatCode>General</c:formatCode>
                  <c:ptCount val="1963"/>
                  <c:pt idx="0">
                    <c:v>26332.246999999999</c:v>
                  </c:pt>
                  <c:pt idx="1">
                    <c:v>26350.222000000002</c:v>
                  </c:pt>
                  <c:pt idx="2">
                    <c:v>26627.427</c:v>
                  </c:pt>
                  <c:pt idx="3">
                    <c:v>28239.907999999999</c:v>
                  </c:pt>
                  <c:pt idx="4">
                    <c:v>28304.345000000001</c:v>
                  </c:pt>
                  <c:pt idx="5">
                    <c:v>33364.550999999999</c:v>
                  </c:pt>
                  <c:pt idx="6">
                    <c:v>33589.485000000001</c:v>
                  </c:pt>
                  <c:pt idx="7">
                    <c:v>33718.266000000003</c:v>
                  </c:pt>
                  <c:pt idx="8">
                    <c:v>33844.697999999997</c:v>
                  </c:pt>
                  <c:pt idx="9">
                    <c:v>33946.529000000002</c:v>
                  </c:pt>
                  <c:pt idx="10">
                    <c:v>33946.608</c:v>
                  </c:pt>
                  <c:pt idx="11">
                    <c:v>33946.629999999997</c:v>
                  </c:pt>
                  <c:pt idx="12">
                    <c:v>34036.245000000003</c:v>
                  </c:pt>
                  <c:pt idx="13">
                    <c:v>34078.616000000002</c:v>
                  </c:pt>
                  <c:pt idx="14">
                    <c:v>34096.559999999998</c:v>
                  </c:pt>
                  <c:pt idx="15">
                    <c:v>34098.302000000003</c:v>
                  </c:pt>
                  <c:pt idx="16">
                    <c:v>34114.527999999998</c:v>
                  </c:pt>
                  <c:pt idx="17">
                    <c:v>34119.432999999997</c:v>
                  </c:pt>
                  <c:pt idx="18">
                    <c:v>34119.485000000001</c:v>
                  </c:pt>
                  <c:pt idx="19">
                    <c:v>34419.442000000003</c:v>
                  </c:pt>
                  <c:pt idx="20">
                    <c:v>34485.478999999999</c:v>
                  </c:pt>
                  <c:pt idx="21">
                    <c:v>35023.54</c:v>
                  </c:pt>
                  <c:pt idx="22">
                    <c:v>35145.016000000003</c:v>
                  </c:pt>
                  <c:pt idx="23">
                    <c:v>36780.417999999998</c:v>
                  </c:pt>
                  <c:pt idx="24">
                    <c:v>36806.39</c:v>
                  </c:pt>
                  <c:pt idx="25">
                    <c:v>36842.341</c:v>
                  </c:pt>
                  <c:pt idx="26">
                    <c:v>36896.216999999997</c:v>
                  </c:pt>
                  <c:pt idx="27">
                    <c:v>36922.232000000004</c:v>
                  </c:pt>
                  <c:pt idx="28">
                    <c:v>37116.394999999997</c:v>
                  </c:pt>
                  <c:pt idx="29">
                    <c:v>37168.434000000001</c:v>
                  </c:pt>
                  <c:pt idx="30">
                    <c:v>37173.356</c:v>
                  </c:pt>
                  <c:pt idx="31">
                    <c:v>37253.224000000002</c:v>
                  </c:pt>
                  <c:pt idx="32">
                    <c:v>37468.421999999999</c:v>
                  </c:pt>
                  <c:pt idx="33">
                    <c:v>37499.461000000003</c:v>
                  </c:pt>
                  <c:pt idx="34">
                    <c:v>37517.375</c:v>
                  </c:pt>
                  <c:pt idx="35">
                    <c:v>37548.406000000003</c:v>
                  </c:pt>
                  <c:pt idx="36">
                    <c:v>37584.252</c:v>
                  </c:pt>
                  <c:pt idx="37">
                    <c:v>37615.222999999998</c:v>
                  </c:pt>
                  <c:pt idx="38">
                    <c:v>37641.207999999999</c:v>
                  </c:pt>
                  <c:pt idx="39">
                    <c:v>37659.22</c:v>
                  </c:pt>
                  <c:pt idx="40">
                    <c:v>37928.31</c:v>
                  </c:pt>
                  <c:pt idx="41">
                    <c:v>38316.32</c:v>
                  </c:pt>
                  <c:pt idx="42">
                    <c:v>43096.864000000001</c:v>
                  </c:pt>
                  <c:pt idx="43">
                    <c:v>43096.868000000002</c:v>
                  </c:pt>
                  <c:pt idx="44">
                    <c:v>43326.771999999997</c:v>
                  </c:pt>
                  <c:pt idx="45">
                    <c:v>43701.771000000001</c:v>
                  </c:pt>
                  <c:pt idx="46">
                    <c:v>44081.694000000003</c:v>
                  </c:pt>
                  <c:pt idx="47">
                    <c:v>44593.656999999999</c:v>
                  </c:pt>
                  <c:pt idx="48">
                    <c:v>45193.678</c:v>
                  </c:pt>
                  <c:pt idx="49">
                    <c:v>45643.686999999998</c:v>
                  </c:pt>
                  <c:pt idx="50">
                    <c:v>46804.607000000004</c:v>
                  </c:pt>
                  <c:pt idx="51">
                    <c:v>47681.792000000001</c:v>
                  </c:pt>
                  <c:pt idx="52">
                    <c:v>49933.5164</c:v>
                  </c:pt>
                  <c:pt idx="53">
                    <c:v>49951.4493</c:v>
                  </c:pt>
                  <c:pt idx="54">
                    <c:v>50000.361599999997</c:v>
                  </c:pt>
                  <c:pt idx="55">
                    <c:v>50005.253900000003</c:v>
                  </c:pt>
                  <c:pt idx="56">
                    <c:v>50022.377399999998</c:v>
                  </c:pt>
                  <c:pt idx="57">
                    <c:v>50750.386400000003</c:v>
                  </c:pt>
                  <c:pt idx="58">
                    <c:v>51842.811999999998</c:v>
                  </c:pt>
                  <c:pt idx="59">
                    <c:v>52245.5409</c:v>
                  </c:pt>
                  <c:pt idx="60">
                    <c:v>52602.619200000001</c:v>
                  </c:pt>
                  <c:pt idx="61">
                    <c:v>52620.552600000003</c:v>
                  </c:pt>
                  <c:pt idx="62">
                    <c:v>53197.744200000001</c:v>
                  </c:pt>
                  <c:pt idx="63">
                    <c:v>53890.701699999998</c:v>
                  </c:pt>
                  <c:pt idx="64">
                    <c:v>54001.5746</c:v>
                  </c:pt>
                  <c:pt idx="65">
                    <c:v>54260.822399999997</c:v>
                  </c:pt>
                  <c:pt idx="66">
                    <c:v>54296.692199999998</c:v>
                  </c:pt>
                  <c:pt idx="67">
                    <c:v>54596.702599999997</c:v>
                  </c:pt>
                  <c:pt idx="68">
                    <c:v>54622.790200000003</c:v>
                  </c:pt>
                  <c:pt idx="69">
                    <c:v>54702.683599999997</c:v>
                  </c:pt>
                  <c:pt idx="70">
                    <c:v>54751.597900000001</c:v>
                  </c:pt>
                  <c:pt idx="71">
                    <c:v>55157.59</c:v>
                  </c:pt>
                  <c:pt idx="72">
                    <c:v>55346.725599999998</c:v>
                  </c:pt>
                  <c:pt idx="73">
                    <c:v>55669.563499999997</c:v>
                  </c:pt>
                  <c:pt idx="74">
                    <c:v>55747.825599999996</c:v>
                  </c:pt>
                  <c:pt idx="75">
                    <c:v>55775.544699999999</c:v>
                  </c:pt>
                  <c:pt idx="76">
                    <c:v>55802.445500000002</c:v>
                  </c:pt>
                  <c:pt idx="77">
                    <c:v>56153.817199999998</c:v>
                  </c:pt>
                  <c:pt idx="78">
                    <c:v>56220.669199999997</c:v>
                  </c:pt>
                  <c:pt idx="79">
                    <c:v>56497.849399999999</c:v>
                  </c:pt>
                  <c:pt idx="80">
                    <c:v>57221.789199999999</c:v>
                  </c:pt>
                  <c:pt idx="81">
                    <c:v>57588.647499999999</c:v>
                  </c:pt>
                  <c:pt idx="82">
                    <c:v>57601.6895</c:v>
                  </c:pt>
                  <c:pt idx="83">
                    <c:v>57650.603000000003</c:v>
                  </c:pt>
                  <c:pt idx="84">
                    <c:v>57655.495699999999</c:v>
                  </c:pt>
                  <c:pt idx="85">
                    <c:v>58307.689599999998</c:v>
                  </c:pt>
                  <c:pt idx="86">
                    <c:v>58356.6037</c:v>
                  </c:pt>
                  <c:pt idx="87">
                    <c:v>58723.465300000003</c:v>
                  </c:pt>
                  <c:pt idx="88">
                    <c:v>58723.465300000003</c:v>
                  </c:pt>
                  <c:pt idx="89">
                    <c:v>58754.443099999997</c:v>
                  </c:pt>
                  <c:pt idx="90">
                    <c:v>58754.443099999997</c:v>
                  </c:pt>
                  <c:pt idx="91">
                    <c:v>59075.649100000002</c:v>
                  </c:pt>
                  <c:pt idx="92">
                    <c:v>59075.649100000002</c:v>
                  </c:pt>
                  <c:pt idx="93">
                    <c:v>59155.543400000002</c:v>
                  </c:pt>
                  <c:pt idx="94">
                    <c:v>59155.543400000002</c:v>
                  </c:pt>
                  <c:pt idx="95">
                    <c:v>59540.338000000003</c:v>
                  </c:pt>
                  <c:pt idx="96">
                    <c:v>59548.491399999999</c:v>
                  </c:pt>
                  <c:pt idx="97">
                    <c:v>59789.802600000003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-1.4729999998962739E-2</c:v>
                </c:pt>
                <c:pt idx="1">
                  <c:v>2.4979000001621898E-2</c:v>
                </c:pt>
                <c:pt idx="2">
                  <c:v>4.8209000000497326E-2</c:v>
                </c:pt>
                <c:pt idx="3">
                  <c:v>-1.6500000001542503E-2</c:v>
                </c:pt>
                <c:pt idx="4">
                  <c:v>1.6500500001711771E-2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75-48F2-BF66-56307BA7A4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5">
                  <c:v>2.4717000000237022E-2</c:v>
                </c:pt>
                <c:pt idx="6">
                  <c:v>-4.7660999996878672E-2</c:v>
                </c:pt>
                <c:pt idx="7">
                  <c:v>-7.4659999998402782E-2</c:v>
                </c:pt>
                <c:pt idx="8">
                  <c:v>-4.9375000016880222E-3</c:v>
                </c:pt>
                <c:pt idx="9">
                  <c:v>-7.8999999997904524E-2</c:v>
                </c:pt>
                <c:pt idx="11">
                  <c:v>2.1999999997206032E-2</c:v>
                </c:pt>
                <c:pt idx="12">
                  <c:v>-3.9454999998270068E-2</c:v>
                </c:pt>
                <c:pt idx="13">
                  <c:v>-6.0960999995586462E-2</c:v>
                </c:pt>
                <c:pt idx="14">
                  <c:v>-5.2252000001317356E-2</c:v>
                </c:pt>
                <c:pt idx="15">
                  <c:v>5.9267000004183501E-2</c:v>
                </c:pt>
                <c:pt idx="16">
                  <c:v>-1.9543000002158806E-2</c:v>
                </c:pt>
                <c:pt idx="17">
                  <c:v>-5.9860000037588179E-3</c:v>
                </c:pt>
                <c:pt idx="18">
                  <c:v>4.6013999999559019E-2</c:v>
                </c:pt>
                <c:pt idx="19">
                  <c:v>-5.4899999959161505E-3</c:v>
                </c:pt>
                <c:pt idx="20">
                  <c:v>-2.9704999979003333E-3</c:v>
                </c:pt>
                <c:pt idx="21">
                  <c:v>-7.0050000067567453E-4</c:v>
                </c:pt>
                <c:pt idx="22">
                  <c:v>4.4650000054389238E-3</c:v>
                </c:pt>
                <c:pt idx="23">
                  <c:v>3.4021999999822583E-2</c:v>
                </c:pt>
                <c:pt idx="24">
                  <c:v>-8.1674000000930391E-2</c:v>
                </c:pt>
                <c:pt idx="25">
                  <c:v>-1.2560000031953678E-3</c:v>
                </c:pt>
                <c:pt idx="26">
                  <c:v>6.8870999995851889E-2</c:v>
                </c:pt>
                <c:pt idx="27">
                  <c:v>-3.8249999997788109E-3</c:v>
                </c:pt>
                <c:pt idx="28">
                  <c:v>0.13193599999794969</c:v>
                </c:pt>
                <c:pt idx="29">
                  <c:v>-4.456000002392102E-3</c:v>
                </c:pt>
                <c:pt idx="30">
                  <c:v>2.6100999995833263E-2</c:v>
                </c:pt>
                <c:pt idx="31">
                  <c:v>5.3200000547803938E-4</c:v>
                </c:pt>
                <c:pt idx="32">
                  <c:v>-2.4960000002465677E-2</c:v>
                </c:pt>
                <c:pt idx="33">
                  <c:v>3.490099999908125E-2</c:v>
                </c:pt>
                <c:pt idx="34">
                  <c:v>1.3610000001790468E-2</c:v>
                </c:pt>
                <c:pt idx="35">
                  <c:v>6.547100000170758E-2</c:v>
                </c:pt>
                <c:pt idx="36">
                  <c:v>4.088900000351714E-2</c:v>
                </c:pt>
                <c:pt idx="37">
                  <c:v>3.2749999998486601E-2</c:v>
                </c:pt>
                <c:pt idx="38">
                  <c:v>-6.9946000003255904E-2</c:v>
                </c:pt>
                <c:pt idx="39">
                  <c:v>6.7629999975906685E-3</c:v>
                </c:pt>
                <c:pt idx="40">
                  <c:v>6.7397999999229796E-2</c:v>
                </c:pt>
                <c:pt idx="41">
                  <c:v>2.291999999579275E-2</c:v>
                </c:pt>
                <c:pt idx="42">
                  <c:v>-3.3719999992172234E-3</c:v>
                </c:pt>
                <c:pt idx="43">
                  <c:v>6.2800000159768388E-4</c:v>
                </c:pt>
                <c:pt idx="44">
                  <c:v>6.8069999979343265E-3</c:v>
                </c:pt>
                <c:pt idx="45">
                  <c:v>-4.823000002943445E-3</c:v>
                </c:pt>
                <c:pt idx="46">
                  <c:v>1.610400000208756E-2</c:v>
                </c:pt>
                <c:pt idx="47">
                  <c:v>8.069999996223487E-3</c:v>
                </c:pt>
                <c:pt idx="48">
                  <c:v>1.2062000001606066E-2</c:v>
                </c:pt>
                <c:pt idx="49">
                  <c:v>8.3059999960823916E-3</c:v>
                </c:pt>
                <c:pt idx="50">
                  <c:v>2.5834000000031665E-2</c:v>
                </c:pt>
                <c:pt idx="51">
                  <c:v>1.2055999999574851E-2</c:v>
                </c:pt>
                <c:pt idx="58">
                  <c:v>4.4543999996676575E-2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5-48F2-BF66-56307BA7A4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0">
                  <c:v>0</c:v>
                </c:pt>
                <c:pt idx="52">
                  <c:v>4.2195000001811422E-2</c:v>
                </c:pt>
                <c:pt idx="53">
                  <c:v>3.9804000000003725E-2</c:v>
                </c:pt>
                <c:pt idx="54">
                  <c:v>3.7673999999242369E-2</c:v>
                </c:pt>
                <c:pt idx="55">
                  <c:v>3.8531000005605165E-2</c:v>
                </c:pt>
                <c:pt idx="56">
                  <c:v>4.19804999983171E-2</c:v>
                </c:pt>
                <c:pt idx="57">
                  <c:v>4.1213999997125939E-2</c:v>
                </c:pt>
                <c:pt idx="73">
                  <c:v>5.7136999996146187E-2</c:v>
                </c:pt>
                <c:pt idx="75">
                  <c:v>5.7071999995969236E-2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75-48F2-BF66-56307BA7A4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59">
                  <c:v>4.463699999905657E-2</c:v>
                </c:pt>
                <c:pt idx="60">
                  <c:v>4.759800000465475E-2</c:v>
                </c:pt>
                <c:pt idx="61">
                  <c:v>4.5707000004767906E-2</c:v>
                </c:pt>
                <c:pt idx="62">
                  <c:v>4.7032999995280989E-2</c:v>
                </c:pt>
                <c:pt idx="63">
                  <c:v>5.0107999995816499E-2</c:v>
                </c:pt>
                <c:pt idx="64">
                  <c:v>5.0299999995331746E-2</c:v>
                </c:pt>
                <c:pt idx="65">
                  <c:v>5.1620999998704065E-2</c:v>
                </c:pt>
                <c:pt idx="66">
                  <c:v>5.0838999995903578E-2</c:v>
                </c:pt>
                <c:pt idx="67">
                  <c:v>5.2734999997483101E-2</c:v>
                </c:pt>
                <c:pt idx="68">
                  <c:v>5.2639000001363456E-2</c:v>
                </c:pt>
                <c:pt idx="69">
                  <c:v>5.2469999995082617E-2</c:v>
                </c:pt>
                <c:pt idx="70">
                  <c:v>5.2340000002004672E-2</c:v>
                </c:pt>
                <c:pt idx="71">
                  <c:v>5.4670999990776181E-2</c:v>
                </c:pt>
                <c:pt idx="72">
                  <c:v>5.4474999997182749E-2</c:v>
                </c:pt>
                <c:pt idx="74">
                  <c:v>5.6148999996366911E-2</c:v>
                </c:pt>
                <c:pt idx="76">
                  <c:v>5.4935499996645376E-2</c:v>
                </c:pt>
                <c:pt idx="77">
                  <c:v>5.7979999997769482E-2</c:v>
                </c:pt>
                <c:pt idx="78">
                  <c:v>6.0258999998040963E-2</c:v>
                </c:pt>
                <c:pt idx="79">
                  <c:v>5.8688999997684732E-2</c:v>
                </c:pt>
                <c:pt idx="80">
                  <c:v>6.4924999998765998E-2</c:v>
                </c:pt>
                <c:pt idx="81">
                  <c:v>6.4999999995052349E-2</c:v>
                </c:pt>
                <c:pt idx="82">
                  <c:v>6.3151999995170627E-2</c:v>
                </c:pt>
                <c:pt idx="83">
                  <c:v>6.2222000000474509E-2</c:v>
                </c:pt>
                <c:pt idx="84">
                  <c:v>6.3478999996732455E-2</c:v>
                </c:pt>
                <c:pt idx="85">
                  <c:v>6.4978999995219056E-2</c:v>
                </c:pt>
                <c:pt idx="86">
                  <c:v>6.4648999999917578E-2</c:v>
                </c:pt>
                <c:pt idx="87">
                  <c:v>6.8024000000150409E-2</c:v>
                </c:pt>
                <c:pt idx="88">
                  <c:v>6.8024000000150409E-2</c:v>
                </c:pt>
                <c:pt idx="89">
                  <c:v>6.6684999990684446E-2</c:v>
                </c:pt>
                <c:pt idx="90">
                  <c:v>6.6684999990684446E-2</c:v>
                </c:pt>
                <c:pt idx="91">
                  <c:v>6.7927999996754806E-2</c:v>
                </c:pt>
                <c:pt idx="92">
                  <c:v>6.7927999996754806E-2</c:v>
                </c:pt>
                <c:pt idx="93">
                  <c:v>6.8659000004117843E-2</c:v>
                </c:pt>
                <c:pt idx="94">
                  <c:v>6.8659000004117843E-2</c:v>
                </c:pt>
                <c:pt idx="95">
                  <c:v>6.9743000000016764E-2</c:v>
                </c:pt>
                <c:pt idx="96">
                  <c:v>7.0737999994889833E-2</c:v>
                </c:pt>
                <c:pt idx="97">
                  <c:v>7.075000000622822E-2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75-48F2-BF66-56307BA7A4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75-48F2-BF66-56307BA7A4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75-48F2-BF66-56307BA7A4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75-48F2-BF66-56307BA7A4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-3.7931068621456288E-2</c:v>
                </c:pt>
                <c:pt idx="1">
                  <c:v>-3.7873123241644782E-2</c:v>
                </c:pt>
                <c:pt idx="2">
                  <c:v>-3.6977603735466907E-2</c:v>
                </c:pt>
                <c:pt idx="3">
                  <c:v>-3.1767787314232139E-2</c:v>
                </c:pt>
                <c:pt idx="4">
                  <c:v>-3.1559710723090814E-2</c:v>
                </c:pt>
                <c:pt idx="5">
                  <c:v>-1.5211211973543673E-2</c:v>
                </c:pt>
                <c:pt idx="6">
                  <c:v>-1.4484260844999285E-2</c:v>
                </c:pt>
                <c:pt idx="7">
                  <c:v>-1.406810766271663E-2</c:v>
                </c:pt>
                <c:pt idx="8">
                  <c:v>-1.3659856123135543E-2</c:v>
                </c:pt>
                <c:pt idx="9">
                  <c:v>-1.333062101057015E-2</c:v>
                </c:pt>
                <c:pt idx="10">
                  <c:v>-1.333062101057015E-2</c:v>
                </c:pt>
                <c:pt idx="11">
                  <c:v>-1.333062101057015E-2</c:v>
                </c:pt>
                <c:pt idx="12">
                  <c:v>-1.3040894111512604E-2</c:v>
                </c:pt>
                <c:pt idx="13">
                  <c:v>-1.29039323046854E-2</c:v>
                </c:pt>
                <c:pt idx="14">
                  <c:v>-1.2845986924873891E-2</c:v>
                </c:pt>
                <c:pt idx="15">
                  <c:v>-1.2840719163072846E-2</c:v>
                </c:pt>
                <c:pt idx="16">
                  <c:v>-1.2788041545062382E-2</c:v>
                </c:pt>
                <c:pt idx="17">
                  <c:v>-1.2772238259659244E-2</c:v>
                </c:pt>
                <c:pt idx="18">
                  <c:v>-1.2772238259659244E-2</c:v>
                </c:pt>
                <c:pt idx="19">
                  <c:v>-1.1802970088266728E-2</c:v>
                </c:pt>
                <c:pt idx="20">
                  <c:v>-1.1589625735324353E-2</c:v>
                </c:pt>
                <c:pt idx="21">
                  <c:v>-9.8512643409790802E-3</c:v>
                </c:pt>
                <c:pt idx="22">
                  <c:v>-9.4588160868011324E-3</c:v>
                </c:pt>
                <c:pt idx="23">
                  <c:v>-4.1752510003517113E-3</c:v>
                </c:pt>
                <c:pt idx="24">
                  <c:v>-4.0909668115349709E-3</c:v>
                </c:pt>
                <c:pt idx="25">
                  <c:v>-3.9750760519119532E-3</c:v>
                </c:pt>
                <c:pt idx="26">
                  <c:v>-3.8012399124774249E-3</c:v>
                </c:pt>
                <c:pt idx="27">
                  <c:v>-3.7169557236606844E-3</c:v>
                </c:pt>
                <c:pt idx="28">
                  <c:v>-3.0900920693361766E-3</c:v>
                </c:pt>
                <c:pt idx="29">
                  <c:v>-2.9215236917026956E-3</c:v>
                </c:pt>
                <c:pt idx="30">
                  <c:v>-2.905720406299557E-3</c:v>
                </c:pt>
                <c:pt idx="31">
                  <c:v>-2.64760007804829E-3</c:v>
                </c:pt>
                <c:pt idx="32">
                  <c:v>-1.9522555203101803E-3</c:v>
                </c:pt>
                <c:pt idx="33">
                  <c:v>-1.8521680460903012E-3</c:v>
                </c:pt>
                <c:pt idx="34">
                  <c:v>-1.7942226662787907E-3</c:v>
                </c:pt>
                <c:pt idx="35">
                  <c:v>-1.6941351920589116E-3</c:v>
                </c:pt>
                <c:pt idx="36">
                  <c:v>-1.5782444324358939E-3</c:v>
                </c:pt>
                <c:pt idx="37">
                  <c:v>-1.4781569582160148E-3</c:v>
                </c:pt>
                <c:pt idx="38">
                  <c:v>-1.3938727693992743E-3</c:v>
                </c:pt>
                <c:pt idx="39">
                  <c:v>-1.3359273895877655E-3</c:v>
                </c:pt>
                <c:pt idx="40">
                  <c:v>-4.6674669241512749E-4</c:v>
                </c:pt>
                <c:pt idx="41">
                  <c:v>7.8698061623388646E-4</c:v>
                </c:pt>
                <c:pt idx="42">
                  <c:v>1.6232058216901588E-2</c:v>
                </c:pt>
                <c:pt idx="43">
                  <c:v>1.6232058216901588E-2</c:v>
                </c:pt>
                <c:pt idx="44">
                  <c:v>1.6974812630849111E-2</c:v>
                </c:pt>
                <c:pt idx="45">
                  <c:v>1.8186397845089755E-2</c:v>
                </c:pt>
                <c:pt idx="46">
                  <c:v>1.9413786344733543E-2</c:v>
                </c:pt>
                <c:pt idx="47">
                  <c:v>2.1067863550262071E-2</c:v>
                </c:pt>
                <c:pt idx="48">
                  <c:v>2.3006399893047105E-2</c:v>
                </c:pt>
                <c:pt idx="49">
                  <c:v>2.4460302150135879E-2</c:v>
                </c:pt>
                <c:pt idx="50">
                  <c:v>2.8210948552480831E-2</c:v>
                </c:pt>
                <c:pt idx="51">
                  <c:v>3.1045004401443733E-2</c:v>
                </c:pt>
                <c:pt idx="52">
                  <c:v>3.8319783448688652E-2</c:v>
                </c:pt>
                <c:pt idx="53">
                  <c:v>3.8377728828500157E-2</c:v>
                </c:pt>
                <c:pt idx="54">
                  <c:v>3.8535761682531547E-2</c:v>
                </c:pt>
                <c:pt idx="55">
                  <c:v>3.8551564967934687E-2</c:v>
                </c:pt>
                <c:pt idx="56">
                  <c:v>3.8606876466845672E-2</c:v>
                </c:pt>
                <c:pt idx="57">
                  <c:v>4.0958932111012834E-2</c:v>
                </c:pt>
                <c:pt idx="58">
                  <c:v>4.4488332517713843E-2</c:v>
                </c:pt>
                <c:pt idx="59">
                  <c:v>4.5789469682572276E-2</c:v>
                </c:pt>
                <c:pt idx="60">
                  <c:v>4.6943109517001411E-2</c:v>
                </c:pt>
                <c:pt idx="61">
                  <c:v>4.7001054896812923E-2</c:v>
                </c:pt>
                <c:pt idx="62">
                  <c:v>4.8865842574383304E-2</c:v>
                </c:pt>
                <c:pt idx="63">
                  <c:v>5.1104641339827971E-2</c:v>
                </c:pt>
                <c:pt idx="64">
                  <c:v>5.1462849142299129E-2</c:v>
                </c:pt>
                <c:pt idx="65">
                  <c:v>5.2300423268665484E-2</c:v>
                </c:pt>
                <c:pt idx="66">
                  <c:v>5.2416314028288495E-2</c:v>
                </c:pt>
                <c:pt idx="67">
                  <c:v>5.3385582199681016E-2</c:v>
                </c:pt>
                <c:pt idx="68">
                  <c:v>5.346986638849776E-2</c:v>
                </c:pt>
                <c:pt idx="69">
                  <c:v>5.372798671674902E-2</c:v>
                </c:pt>
                <c:pt idx="70">
                  <c:v>5.3886019570780409E-2</c:v>
                </c:pt>
                <c:pt idx="71">
                  <c:v>5.5197692259240934E-2</c:v>
                </c:pt>
                <c:pt idx="72">
                  <c:v>5.580875262816231E-2</c:v>
                </c:pt>
                <c:pt idx="73">
                  <c:v>5.6851769464769476E-2</c:v>
                </c:pt>
                <c:pt idx="74">
                  <c:v>5.7104622031219694E-2</c:v>
                </c:pt>
                <c:pt idx="75">
                  <c:v>5.719417398183748E-2</c:v>
                </c:pt>
                <c:pt idx="76">
                  <c:v>5.7281092051554745E-2</c:v>
                </c:pt>
                <c:pt idx="77">
                  <c:v>5.8416294719680219E-2</c:v>
                </c:pt>
                <c:pt idx="78">
                  <c:v>5.8632272953523114E-2</c:v>
                </c:pt>
                <c:pt idx="79">
                  <c:v>5.9527792459700975E-2</c:v>
                </c:pt>
                <c:pt idx="80">
                  <c:v>6.1866678699365525E-2</c:v>
                </c:pt>
                <c:pt idx="81">
                  <c:v>6.3051925104600948E-2</c:v>
                </c:pt>
                <c:pt idx="82">
                  <c:v>6.3094067199009313E-2</c:v>
                </c:pt>
                <c:pt idx="83">
                  <c:v>6.3252100053040716E-2</c:v>
                </c:pt>
                <c:pt idx="84">
                  <c:v>6.3267903338443843E-2</c:v>
                </c:pt>
                <c:pt idx="85">
                  <c:v>6.5375008058862344E-2</c:v>
                </c:pt>
                <c:pt idx="86">
                  <c:v>6.5533040912893747E-2</c:v>
                </c:pt>
                <c:pt idx="87">
                  <c:v>6.6718287318129149E-2</c:v>
                </c:pt>
                <c:pt idx="88">
                  <c:v>6.6718287318129149E-2</c:v>
                </c:pt>
                <c:pt idx="89">
                  <c:v>6.6818374792349033E-2</c:v>
                </c:pt>
                <c:pt idx="90">
                  <c:v>6.6818374792349033E-2</c:v>
                </c:pt>
                <c:pt idx="91">
                  <c:v>6.7856123867155144E-2</c:v>
                </c:pt>
                <c:pt idx="92">
                  <c:v>6.7856123867155144E-2</c:v>
                </c:pt>
                <c:pt idx="93">
                  <c:v>6.8114244195406431E-2</c:v>
                </c:pt>
                <c:pt idx="94">
                  <c:v>6.8114244195406431E-2</c:v>
                </c:pt>
                <c:pt idx="95">
                  <c:v>6.9357435980453352E-2</c:v>
                </c:pt>
                <c:pt idx="96">
                  <c:v>6.9383774789458563E-2</c:v>
                </c:pt>
                <c:pt idx="97">
                  <c:v>7.0163403536013413E-2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75-48F2-BF66-56307BA7A43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Active!$R$21:$R$982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75-48F2-BF66-56307BA7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68024"/>
        <c:axId val="1"/>
      </c:scatterChart>
      <c:valAx>
        <c:axId val="682368024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4036133520119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4129108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6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2860256361331"/>
          <c:y val="0.92168687503019175"/>
          <c:w val="0.75282781897820117"/>
          <c:h val="6.0240890134132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Cep - O-C Diagr.</a:t>
            </a:r>
          </a:p>
        </c:rich>
      </c:tx>
      <c:layout>
        <c:manualLayout>
          <c:xMode val="edge"/>
          <c:yMode val="edge"/>
          <c:x val="0.37580645161290321"/>
          <c:y val="3.303298096912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-1.4729999998962739E-2</c:v>
                </c:pt>
                <c:pt idx="1">
                  <c:v>2.4979000001621898E-2</c:v>
                </c:pt>
                <c:pt idx="2">
                  <c:v>4.8209000000497326E-2</c:v>
                </c:pt>
                <c:pt idx="3">
                  <c:v>-1.6500000001542503E-2</c:v>
                </c:pt>
                <c:pt idx="4">
                  <c:v>1.6500500001711771E-2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95-49E3-957A-5109BA0878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5">
                  <c:v>2.4717000000237022E-2</c:v>
                </c:pt>
                <c:pt idx="6">
                  <c:v>-4.7660999996878672E-2</c:v>
                </c:pt>
                <c:pt idx="7">
                  <c:v>-7.4659999998402782E-2</c:v>
                </c:pt>
                <c:pt idx="8">
                  <c:v>-4.9375000016880222E-3</c:v>
                </c:pt>
                <c:pt idx="9">
                  <c:v>-7.8999999997904524E-2</c:v>
                </c:pt>
                <c:pt idx="11">
                  <c:v>2.1999999997206032E-2</c:v>
                </c:pt>
                <c:pt idx="12">
                  <c:v>-3.9454999998270068E-2</c:v>
                </c:pt>
                <c:pt idx="13">
                  <c:v>-6.0960999995586462E-2</c:v>
                </c:pt>
                <c:pt idx="14">
                  <c:v>-5.2252000001317356E-2</c:v>
                </c:pt>
                <c:pt idx="15">
                  <c:v>5.9267000004183501E-2</c:v>
                </c:pt>
                <c:pt idx="16">
                  <c:v>-1.9543000002158806E-2</c:v>
                </c:pt>
                <c:pt idx="17">
                  <c:v>-5.9860000037588179E-3</c:v>
                </c:pt>
                <c:pt idx="18">
                  <c:v>4.6013999999559019E-2</c:v>
                </c:pt>
                <c:pt idx="19">
                  <c:v>-5.4899999959161505E-3</c:v>
                </c:pt>
                <c:pt idx="20">
                  <c:v>-2.9704999979003333E-3</c:v>
                </c:pt>
                <c:pt idx="21">
                  <c:v>-7.0050000067567453E-4</c:v>
                </c:pt>
                <c:pt idx="22">
                  <c:v>4.4650000054389238E-3</c:v>
                </c:pt>
                <c:pt idx="23">
                  <c:v>3.4021999999822583E-2</c:v>
                </c:pt>
                <c:pt idx="24">
                  <c:v>-8.1674000000930391E-2</c:v>
                </c:pt>
                <c:pt idx="25">
                  <c:v>-1.2560000031953678E-3</c:v>
                </c:pt>
                <c:pt idx="26">
                  <c:v>6.8870999995851889E-2</c:v>
                </c:pt>
                <c:pt idx="27">
                  <c:v>-3.8249999997788109E-3</c:v>
                </c:pt>
                <c:pt idx="28">
                  <c:v>0.13193599999794969</c:v>
                </c:pt>
                <c:pt idx="29">
                  <c:v>-4.456000002392102E-3</c:v>
                </c:pt>
                <c:pt idx="30">
                  <c:v>2.6100999995833263E-2</c:v>
                </c:pt>
                <c:pt idx="31">
                  <c:v>5.3200000547803938E-4</c:v>
                </c:pt>
                <c:pt idx="32">
                  <c:v>-2.4960000002465677E-2</c:v>
                </c:pt>
                <c:pt idx="33">
                  <c:v>3.490099999908125E-2</c:v>
                </c:pt>
                <c:pt idx="34">
                  <c:v>1.3610000001790468E-2</c:v>
                </c:pt>
                <c:pt idx="35">
                  <c:v>6.547100000170758E-2</c:v>
                </c:pt>
                <c:pt idx="36">
                  <c:v>4.088900000351714E-2</c:v>
                </c:pt>
                <c:pt idx="37">
                  <c:v>3.2749999998486601E-2</c:v>
                </c:pt>
                <c:pt idx="38">
                  <c:v>-6.9946000003255904E-2</c:v>
                </c:pt>
                <c:pt idx="39">
                  <c:v>6.7629999975906685E-3</c:v>
                </c:pt>
                <c:pt idx="40">
                  <c:v>6.7397999999229796E-2</c:v>
                </c:pt>
                <c:pt idx="41">
                  <c:v>2.291999999579275E-2</c:v>
                </c:pt>
                <c:pt idx="42">
                  <c:v>-3.3719999992172234E-3</c:v>
                </c:pt>
                <c:pt idx="43">
                  <c:v>6.2800000159768388E-4</c:v>
                </c:pt>
                <c:pt idx="44">
                  <c:v>6.8069999979343265E-3</c:v>
                </c:pt>
                <c:pt idx="45">
                  <c:v>-4.823000002943445E-3</c:v>
                </c:pt>
                <c:pt idx="46">
                  <c:v>1.610400000208756E-2</c:v>
                </c:pt>
                <c:pt idx="47">
                  <c:v>8.069999996223487E-3</c:v>
                </c:pt>
                <c:pt idx="48">
                  <c:v>1.2062000001606066E-2</c:v>
                </c:pt>
                <c:pt idx="49">
                  <c:v>8.3059999960823916E-3</c:v>
                </c:pt>
                <c:pt idx="50">
                  <c:v>2.5834000000031665E-2</c:v>
                </c:pt>
                <c:pt idx="51">
                  <c:v>1.2055999999574851E-2</c:v>
                </c:pt>
                <c:pt idx="58">
                  <c:v>4.4543999996676575E-2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95-49E3-957A-5109BA0878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0">
                  <c:v>0</c:v>
                </c:pt>
                <c:pt idx="52">
                  <c:v>4.2195000001811422E-2</c:v>
                </c:pt>
                <c:pt idx="53">
                  <c:v>3.9804000000003725E-2</c:v>
                </c:pt>
                <c:pt idx="54">
                  <c:v>3.7673999999242369E-2</c:v>
                </c:pt>
                <c:pt idx="55">
                  <c:v>3.8531000005605165E-2</c:v>
                </c:pt>
                <c:pt idx="56">
                  <c:v>4.19804999983171E-2</c:v>
                </c:pt>
                <c:pt idx="57">
                  <c:v>4.1213999997125939E-2</c:v>
                </c:pt>
                <c:pt idx="73">
                  <c:v>5.7136999996146187E-2</c:v>
                </c:pt>
                <c:pt idx="75">
                  <c:v>5.7071999995969236E-2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95-49E3-957A-5109BA0878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59">
                  <c:v>4.463699999905657E-2</c:v>
                </c:pt>
                <c:pt idx="60">
                  <c:v>4.759800000465475E-2</c:v>
                </c:pt>
                <c:pt idx="61">
                  <c:v>4.5707000004767906E-2</c:v>
                </c:pt>
                <c:pt idx="62">
                  <c:v>4.7032999995280989E-2</c:v>
                </c:pt>
                <c:pt idx="63">
                  <c:v>5.0107999995816499E-2</c:v>
                </c:pt>
                <c:pt idx="64">
                  <c:v>5.0299999995331746E-2</c:v>
                </c:pt>
                <c:pt idx="65">
                  <c:v>5.1620999998704065E-2</c:v>
                </c:pt>
                <c:pt idx="66">
                  <c:v>5.0838999995903578E-2</c:v>
                </c:pt>
                <c:pt idx="67">
                  <c:v>5.2734999997483101E-2</c:v>
                </c:pt>
                <c:pt idx="68">
                  <c:v>5.2639000001363456E-2</c:v>
                </c:pt>
                <c:pt idx="69">
                  <c:v>5.2469999995082617E-2</c:v>
                </c:pt>
                <c:pt idx="70">
                  <c:v>5.2340000002004672E-2</c:v>
                </c:pt>
                <c:pt idx="71">
                  <c:v>5.4670999990776181E-2</c:v>
                </c:pt>
                <c:pt idx="72">
                  <c:v>5.4474999997182749E-2</c:v>
                </c:pt>
                <c:pt idx="74">
                  <c:v>5.6148999996366911E-2</c:v>
                </c:pt>
                <c:pt idx="76">
                  <c:v>5.4935499996645376E-2</c:v>
                </c:pt>
                <c:pt idx="77">
                  <c:v>5.7979999997769482E-2</c:v>
                </c:pt>
                <c:pt idx="78">
                  <c:v>6.0258999998040963E-2</c:v>
                </c:pt>
                <c:pt idx="79">
                  <c:v>5.8688999997684732E-2</c:v>
                </c:pt>
                <c:pt idx="80">
                  <c:v>6.4924999998765998E-2</c:v>
                </c:pt>
                <c:pt idx="81">
                  <c:v>6.4999999995052349E-2</c:v>
                </c:pt>
                <c:pt idx="82">
                  <c:v>6.3151999995170627E-2</c:v>
                </c:pt>
                <c:pt idx="83">
                  <c:v>6.2222000000474509E-2</c:v>
                </c:pt>
                <c:pt idx="84">
                  <c:v>6.3478999996732455E-2</c:v>
                </c:pt>
                <c:pt idx="85">
                  <c:v>6.4978999995219056E-2</c:v>
                </c:pt>
                <c:pt idx="86">
                  <c:v>6.4648999999917578E-2</c:v>
                </c:pt>
                <c:pt idx="87">
                  <c:v>6.8024000000150409E-2</c:v>
                </c:pt>
                <c:pt idx="88">
                  <c:v>6.8024000000150409E-2</c:v>
                </c:pt>
                <c:pt idx="89">
                  <c:v>6.6684999990684446E-2</c:v>
                </c:pt>
                <c:pt idx="90">
                  <c:v>6.6684999990684446E-2</c:v>
                </c:pt>
                <c:pt idx="91">
                  <c:v>6.7927999996754806E-2</c:v>
                </c:pt>
                <c:pt idx="92">
                  <c:v>6.7927999996754806E-2</c:v>
                </c:pt>
                <c:pt idx="93">
                  <c:v>6.8659000004117843E-2</c:v>
                </c:pt>
                <c:pt idx="94">
                  <c:v>6.8659000004117843E-2</c:v>
                </c:pt>
                <c:pt idx="95">
                  <c:v>6.9743000000016764E-2</c:v>
                </c:pt>
                <c:pt idx="96">
                  <c:v>7.0737999994889833E-2</c:v>
                </c:pt>
                <c:pt idx="97">
                  <c:v>7.075000000622822E-2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95-49E3-957A-5109BA0878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95-49E3-957A-5109BA0878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95-49E3-957A-5109BA0878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95-49E3-957A-5109BA0878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-3.7931068621456288E-2</c:v>
                </c:pt>
                <c:pt idx="1">
                  <c:v>-3.7873123241644782E-2</c:v>
                </c:pt>
                <c:pt idx="2">
                  <c:v>-3.6977603735466907E-2</c:v>
                </c:pt>
                <c:pt idx="3">
                  <c:v>-3.1767787314232139E-2</c:v>
                </c:pt>
                <c:pt idx="4">
                  <c:v>-3.1559710723090814E-2</c:v>
                </c:pt>
                <c:pt idx="5">
                  <c:v>-1.5211211973543673E-2</c:v>
                </c:pt>
                <c:pt idx="6">
                  <c:v>-1.4484260844999285E-2</c:v>
                </c:pt>
                <c:pt idx="7">
                  <c:v>-1.406810766271663E-2</c:v>
                </c:pt>
                <c:pt idx="8">
                  <c:v>-1.3659856123135543E-2</c:v>
                </c:pt>
                <c:pt idx="9">
                  <c:v>-1.333062101057015E-2</c:v>
                </c:pt>
                <c:pt idx="10">
                  <c:v>-1.333062101057015E-2</c:v>
                </c:pt>
                <c:pt idx="11">
                  <c:v>-1.333062101057015E-2</c:v>
                </c:pt>
                <c:pt idx="12">
                  <c:v>-1.3040894111512604E-2</c:v>
                </c:pt>
                <c:pt idx="13">
                  <c:v>-1.29039323046854E-2</c:v>
                </c:pt>
                <c:pt idx="14">
                  <c:v>-1.2845986924873891E-2</c:v>
                </c:pt>
                <c:pt idx="15">
                  <c:v>-1.2840719163072846E-2</c:v>
                </c:pt>
                <c:pt idx="16">
                  <c:v>-1.2788041545062382E-2</c:v>
                </c:pt>
                <c:pt idx="17">
                  <c:v>-1.2772238259659244E-2</c:v>
                </c:pt>
                <c:pt idx="18">
                  <c:v>-1.2772238259659244E-2</c:v>
                </c:pt>
                <c:pt idx="19">
                  <c:v>-1.1802970088266728E-2</c:v>
                </c:pt>
                <c:pt idx="20">
                  <c:v>-1.1589625735324353E-2</c:v>
                </c:pt>
                <c:pt idx="21">
                  <c:v>-9.8512643409790802E-3</c:v>
                </c:pt>
                <c:pt idx="22">
                  <c:v>-9.4588160868011324E-3</c:v>
                </c:pt>
                <c:pt idx="23">
                  <c:v>-4.1752510003517113E-3</c:v>
                </c:pt>
                <c:pt idx="24">
                  <c:v>-4.0909668115349709E-3</c:v>
                </c:pt>
                <c:pt idx="25">
                  <c:v>-3.9750760519119532E-3</c:v>
                </c:pt>
                <c:pt idx="26">
                  <c:v>-3.8012399124774249E-3</c:v>
                </c:pt>
                <c:pt idx="27">
                  <c:v>-3.7169557236606844E-3</c:v>
                </c:pt>
                <c:pt idx="28">
                  <c:v>-3.0900920693361766E-3</c:v>
                </c:pt>
                <c:pt idx="29">
                  <c:v>-2.9215236917026956E-3</c:v>
                </c:pt>
                <c:pt idx="30">
                  <c:v>-2.905720406299557E-3</c:v>
                </c:pt>
                <c:pt idx="31">
                  <c:v>-2.64760007804829E-3</c:v>
                </c:pt>
                <c:pt idx="32">
                  <c:v>-1.9522555203101803E-3</c:v>
                </c:pt>
                <c:pt idx="33">
                  <c:v>-1.8521680460903012E-3</c:v>
                </c:pt>
                <c:pt idx="34">
                  <c:v>-1.7942226662787907E-3</c:v>
                </c:pt>
                <c:pt idx="35">
                  <c:v>-1.6941351920589116E-3</c:v>
                </c:pt>
                <c:pt idx="36">
                  <c:v>-1.5782444324358939E-3</c:v>
                </c:pt>
                <c:pt idx="37">
                  <c:v>-1.4781569582160148E-3</c:v>
                </c:pt>
                <c:pt idx="38">
                  <c:v>-1.3938727693992743E-3</c:v>
                </c:pt>
                <c:pt idx="39">
                  <c:v>-1.3359273895877655E-3</c:v>
                </c:pt>
                <c:pt idx="40">
                  <c:v>-4.6674669241512749E-4</c:v>
                </c:pt>
                <c:pt idx="41">
                  <c:v>7.8698061623388646E-4</c:v>
                </c:pt>
                <c:pt idx="42">
                  <c:v>1.6232058216901588E-2</c:v>
                </c:pt>
                <c:pt idx="43">
                  <c:v>1.6232058216901588E-2</c:v>
                </c:pt>
                <c:pt idx="44">
                  <c:v>1.6974812630849111E-2</c:v>
                </c:pt>
                <c:pt idx="45">
                  <c:v>1.8186397845089755E-2</c:v>
                </c:pt>
                <c:pt idx="46">
                  <c:v>1.9413786344733543E-2</c:v>
                </c:pt>
                <c:pt idx="47">
                  <c:v>2.1067863550262071E-2</c:v>
                </c:pt>
                <c:pt idx="48">
                  <c:v>2.3006399893047105E-2</c:v>
                </c:pt>
                <c:pt idx="49">
                  <c:v>2.4460302150135879E-2</c:v>
                </c:pt>
                <c:pt idx="50">
                  <c:v>2.8210948552480831E-2</c:v>
                </c:pt>
                <c:pt idx="51">
                  <c:v>3.1045004401443733E-2</c:v>
                </c:pt>
                <c:pt idx="52">
                  <c:v>3.8319783448688652E-2</c:v>
                </c:pt>
                <c:pt idx="53">
                  <c:v>3.8377728828500157E-2</c:v>
                </c:pt>
                <c:pt idx="54">
                  <c:v>3.8535761682531547E-2</c:v>
                </c:pt>
                <c:pt idx="55">
                  <c:v>3.8551564967934687E-2</c:v>
                </c:pt>
                <c:pt idx="56">
                  <c:v>3.8606876466845672E-2</c:v>
                </c:pt>
                <c:pt idx="57">
                  <c:v>4.0958932111012834E-2</c:v>
                </c:pt>
                <c:pt idx="58">
                  <c:v>4.4488332517713843E-2</c:v>
                </c:pt>
                <c:pt idx="59">
                  <c:v>4.5789469682572276E-2</c:v>
                </c:pt>
                <c:pt idx="60">
                  <c:v>4.6943109517001411E-2</c:v>
                </c:pt>
                <c:pt idx="61">
                  <c:v>4.7001054896812923E-2</c:v>
                </c:pt>
                <c:pt idx="62">
                  <c:v>4.8865842574383304E-2</c:v>
                </c:pt>
                <c:pt idx="63">
                  <c:v>5.1104641339827971E-2</c:v>
                </c:pt>
                <c:pt idx="64">
                  <c:v>5.1462849142299129E-2</c:v>
                </c:pt>
                <c:pt idx="65">
                  <c:v>5.2300423268665484E-2</c:v>
                </c:pt>
                <c:pt idx="66">
                  <c:v>5.2416314028288495E-2</c:v>
                </c:pt>
                <c:pt idx="67">
                  <c:v>5.3385582199681016E-2</c:v>
                </c:pt>
                <c:pt idx="68">
                  <c:v>5.346986638849776E-2</c:v>
                </c:pt>
                <c:pt idx="69">
                  <c:v>5.372798671674902E-2</c:v>
                </c:pt>
                <c:pt idx="70">
                  <c:v>5.3886019570780409E-2</c:v>
                </c:pt>
                <c:pt idx="71">
                  <c:v>5.5197692259240934E-2</c:v>
                </c:pt>
                <c:pt idx="72">
                  <c:v>5.580875262816231E-2</c:v>
                </c:pt>
                <c:pt idx="73">
                  <c:v>5.6851769464769476E-2</c:v>
                </c:pt>
                <c:pt idx="74">
                  <c:v>5.7104622031219694E-2</c:v>
                </c:pt>
                <c:pt idx="75">
                  <c:v>5.719417398183748E-2</c:v>
                </c:pt>
                <c:pt idx="76">
                  <c:v>5.7281092051554745E-2</c:v>
                </c:pt>
                <c:pt idx="77">
                  <c:v>5.8416294719680219E-2</c:v>
                </c:pt>
                <c:pt idx="78">
                  <c:v>5.8632272953523114E-2</c:v>
                </c:pt>
                <c:pt idx="79">
                  <c:v>5.9527792459700975E-2</c:v>
                </c:pt>
                <c:pt idx="80">
                  <c:v>6.1866678699365525E-2</c:v>
                </c:pt>
                <c:pt idx="81">
                  <c:v>6.3051925104600948E-2</c:v>
                </c:pt>
                <c:pt idx="82">
                  <c:v>6.3094067199009313E-2</c:v>
                </c:pt>
                <c:pt idx="83">
                  <c:v>6.3252100053040716E-2</c:v>
                </c:pt>
                <c:pt idx="84">
                  <c:v>6.3267903338443843E-2</c:v>
                </c:pt>
                <c:pt idx="85">
                  <c:v>6.5375008058862344E-2</c:v>
                </c:pt>
                <c:pt idx="86">
                  <c:v>6.5533040912893747E-2</c:v>
                </c:pt>
                <c:pt idx="87">
                  <c:v>6.6718287318129149E-2</c:v>
                </c:pt>
                <c:pt idx="88">
                  <c:v>6.6718287318129149E-2</c:v>
                </c:pt>
                <c:pt idx="89">
                  <c:v>6.6818374792349033E-2</c:v>
                </c:pt>
                <c:pt idx="90">
                  <c:v>6.6818374792349033E-2</c:v>
                </c:pt>
                <c:pt idx="91">
                  <c:v>6.7856123867155144E-2</c:v>
                </c:pt>
                <c:pt idx="92">
                  <c:v>6.7856123867155144E-2</c:v>
                </c:pt>
                <c:pt idx="93">
                  <c:v>6.8114244195406431E-2</c:v>
                </c:pt>
                <c:pt idx="94">
                  <c:v>6.8114244195406431E-2</c:v>
                </c:pt>
                <c:pt idx="95">
                  <c:v>6.9357435980453352E-2</c:v>
                </c:pt>
                <c:pt idx="96">
                  <c:v>6.9383774789458563E-2</c:v>
                </c:pt>
                <c:pt idx="97">
                  <c:v>7.0163403536013413E-2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95-49E3-957A-5109BA0878E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15850</c:v>
                </c:pt>
              </c:numCache>
            </c:numRef>
          </c:xVal>
          <c:yVal>
            <c:numRef>
              <c:f>Active!$R$21:$R$982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95-49E3-957A-5109BA08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63104"/>
        <c:axId val="1"/>
      </c:scatterChart>
      <c:valAx>
        <c:axId val="682363104"/>
        <c:scaling>
          <c:orientation val="minMax"/>
          <c:max val="14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084342668175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6158668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6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35483870967741"/>
          <c:y val="0.92192475940507435"/>
          <c:w val="0.75161290322580643"/>
          <c:h val="6.0060519957941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16</xdr:col>
      <xdr:colOff>428625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A7074611-ED38-8385-C125-E5616130E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44B73C0-7459-3DEF-50D7-DAC14EDD7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32" TargetMode="External"/><Relationship Id="rId7" Type="http://schemas.openxmlformats.org/officeDocument/2006/relationships/hyperlink" Target="http://www.aavso.org/sites/default/files/jaavso/v36n2/186.pdf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32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32" TargetMode="External"/><Relationship Id="rId10" Type="http://schemas.openxmlformats.org/officeDocument/2006/relationships/hyperlink" Target="http://www.aavso.org/sites/default/files/jaavso/v37n1/7(1),44.pdf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7"/>
  <sheetViews>
    <sheetView tabSelected="1" workbookViewId="0">
      <pane xSplit="14" ySplit="22" topLeftCell="O98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32</v>
      </c>
    </row>
    <row r="2" spans="1:6">
      <c r="A2" t="s">
        <v>24</v>
      </c>
      <c r="B2" s="10" t="s">
        <v>31</v>
      </c>
      <c r="D2" s="11" t="s">
        <v>33</v>
      </c>
    </row>
    <row r="3" spans="1:6" ht="13.5" thickBot="1"/>
    <row r="4" spans="1:6" ht="13.5" thickBot="1">
      <c r="A4" s="4" t="s">
        <v>1</v>
      </c>
      <c r="C4" s="7">
        <v>33946.608</v>
      </c>
      <c r="D4" s="8">
        <v>1.6304810000000001</v>
      </c>
    </row>
    <row r="5" spans="1:6">
      <c r="A5" s="12" t="s">
        <v>34</v>
      </c>
      <c r="B5" s="13"/>
      <c r="C5" s="14">
        <v>-9.5</v>
      </c>
      <c r="D5" s="13" t="s">
        <v>35</v>
      </c>
    </row>
    <row r="6" spans="1:6">
      <c r="A6" s="4" t="s">
        <v>2</v>
      </c>
    </row>
    <row r="7" spans="1:6">
      <c r="A7" t="s">
        <v>3</v>
      </c>
      <c r="C7">
        <f>+C4</f>
        <v>33946.608</v>
      </c>
    </row>
    <row r="8" spans="1:6">
      <c r="A8" t="s">
        <v>4</v>
      </c>
      <c r="C8">
        <f>+D4</f>
        <v>1.6304810000000001</v>
      </c>
    </row>
    <row r="9" spans="1:6">
      <c r="A9" s="28" t="s">
        <v>40</v>
      </c>
      <c r="B9" s="29">
        <v>73</v>
      </c>
      <c r="C9" s="17" t="str">
        <f>"F"&amp;B9</f>
        <v>F73</v>
      </c>
      <c r="D9" s="18" t="str">
        <f>"G"&amp;B9</f>
        <v>G73</v>
      </c>
    </row>
    <row r="10" spans="1:6" ht="13.5" thickBot="1">
      <c r="A10" s="13"/>
      <c r="B10" s="13"/>
      <c r="C10" s="3" t="s">
        <v>20</v>
      </c>
      <c r="D10" s="3" t="s">
        <v>21</v>
      </c>
      <c r="E10" s="13"/>
    </row>
    <row r="11" spans="1:6">
      <c r="A11" s="13" t="s">
        <v>16</v>
      </c>
      <c r="B11" s="13"/>
      <c r="C11" s="15">
        <f ca="1">INTERCEPT(INDIRECT($D$9):G990,INDIRECT($C$9):F990)</f>
        <v>-1.333062101057015E-2</v>
      </c>
      <c r="D11" s="16"/>
      <c r="E11" s="13"/>
    </row>
    <row r="12" spans="1:6">
      <c r="A12" s="13" t="s">
        <v>17</v>
      </c>
      <c r="B12" s="13"/>
      <c r="C12" s="15">
        <f ca="1">SLOPE(INDIRECT($D$9):G990,INDIRECT($C$9):F990)</f>
        <v>5.2677618010462823E-6</v>
      </c>
      <c r="D12" s="16"/>
      <c r="E12" s="13"/>
    </row>
    <row r="13" spans="1:6">
      <c r="A13" s="13" t="s">
        <v>19</v>
      </c>
      <c r="B13" s="13"/>
      <c r="C13" s="16" t="s">
        <v>36</v>
      </c>
    </row>
    <row r="14" spans="1:6">
      <c r="A14" s="13"/>
      <c r="B14" s="13"/>
      <c r="C14" s="13"/>
    </row>
    <row r="15" spans="1:6">
      <c r="A15" s="19" t="s">
        <v>18</v>
      </c>
      <c r="B15" s="13"/>
      <c r="C15" s="20">
        <f ca="1">(C7+C11)+(C8+C12)*INT(MAX(F21:F3531))</f>
        <v>59789.802013403532</v>
      </c>
      <c r="E15" s="21" t="s">
        <v>43</v>
      </c>
      <c r="F15" s="14">
        <v>1</v>
      </c>
    </row>
    <row r="16" spans="1:6">
      <c r="A16" s="23" t="s">
        <v>5</v>
      </c>
      <c r="B16" s="13"/>
      <c r="C16" s="24">
        <f ca="1">+C8+C12</f>
        <v>1.6304862677618011</v>
      </c>
      <c r="E16" s="21" t="s">
        <v>37</v>
      </c>
      <c r="F16" s="22">
        <f ca="1">NOW()+15018.5+$C$5/24</f>
        <v>59970.824037152772</v>
      </c>
    </row>
    <row r="17" spans="1:18" ht="13.5" thickBot="1">
      <c r="A17" s="21" t="s">
        <v>30</v>
      </c>
      <c r="B17" s="13"/>
      <c r="C17" s="13">
        <f>COUNT(C21:C2189)</f>
        <v>98</v>
      </c>
      <c r="E17" s="21" t="s">
        <v>44</v>
      </c>
      <c r="F17" s="22">
        <f ca="1">ROUND(2*(F16-$C$7)/$C$8,0)/2+F15</f>
        <v>15962</v>
      </c>
    </row>
    <row r="18" spans="1:18" ht="14.25" thickTop="1" thickBot="1">
      <c r="A18" s="23" t="s">
        <v>6</v>
      </c>
      <c r="B18" s="13"/>
      <c r="C18" s="26">
        <f ca="1">+C15</f>
        <v>59789.802013403532</v>
      </c>
      <c r="D18" s="27">
        <f ca="1">+C16</f>
        <v>1.6304862677618011</v>
      </c>
      <c r="E18" s="21" t="s">
        <v>38</v>
      </c>
      <c r="F18" s="18">
        <f ca="1">ROUND(2*(F16-$C$15)/$C$16,0)/2+F15</f>
        <v>112</v>
      </c>
    </row>
    <row r="19" spans="1:18" ht="13.5" thickTop="1">
      <c r="E19" s="21" t="s">
        <v>39</v>
      </c>
      <c r="F19" s="25">
        <f ca="1">+$C$15+$C$16*F18-15018.5-$C$5/24</f>
        <v>44954.312308726192</v>
      </c>
    </row>
    <row r="20" spans="1:18" ht="13.5" thickBot="1">
      <c r="A20" s="3" t="s">
        <v>7</v>
      </c>
      <c r="B20" s="3" t="s">
        <v>8</v>
      </c>
      <c r="C20" s="3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61</v>
      </c>
      <c r="I20" s="6" t="s">
        <v>64</v>
      </c>
      <c r="J20" s="6" t="s">
        <v>58</v>
      </c>
      <c r="K20" s="6" t="s">
        <v>56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38" t="s">
        <v>50</v>
      </c>
    </row>
    <row r="21" spans="1:18">
      <c r="A21" s="57" t="s">
        <v>72</v>
      </c>
      <c r="B21" s="58" t="s">
        <v>29</v>
      </c>
      <c r="C21" s="57">
        <v>26332.246999999999</v>
      </c>
      <c r="D21" s="57" t="s">
        <v>64</v>
      </c>
      <c r="E21">
        <f t="shared" ref="E21:E52" si="0">+(C21-C$7)/C$8</f>
        <v>-4670.0090341439127</v>
      </c>
      <c r="F21">
        <f t="shared" ref="F21:F52" si="1">ROUND(2*E21,0)/2</f>
        <v>-4670</v>
      </c>
      <c r="G21">
        <f t="shared" ref="G21:G52" si="2">+C21-(C$7+F21*C$8)</f>
        <v>-1.4729999998962739E-2</v>
      </c>
      <c r="H21">
        <f>+G21</f>
        <v>-1.4729999998962739E-2</v>
      </c>
      <c r="O21">
        <f t="shared" ref="O21:O52" ca="1" si="3">+C$11+C$12*$F21</f>
        <v>-3.7931068621456288E-2</v>
      </c>
      <c r="Q21" s="2">
        <f t="shared" ref="Q21:Q52" si="4">+C21-15018.5</f>
        <v>11313.746999999999</v>
      </c>
    </row>
    <row r="22" spans="1:18">
      <c r="A22" s="57" t="s">
        <v>72</v>
      </c>
      <c r="B22" s="58" t="s">
        <v>29</v>
      </c>
      <c r="C22" s="57">
        <v>26350.222000000002</v>
      </c>
      <c r="D22" s="57" t="s">
        <v>64</v>
      </c>
      <c r="E22">
        <f t="shared" si="0"/>
        <v>-4658.9846799809375</v>
      </c>
      <c r="F22">
        <f t="shared" si="1"/>
        <v>-4659</v>
      </c>
      <c r="G22">
        <f t="shared" si="2"/>
        <v>2.4979000001621898E-2</v>
      </c>
      <c r="H22">
        <f>+G22</f>
        <v>2.4979000001621898E-2</v>
      </c>
      <c r="O22">
        <f t="shared" ca="1" si="3"/>
        <v>-3.7873123241644782E-2</v>
      </c>
      <c r="Q22" s="2">
        <f t="shared" si="4"/>
        <v>11331.722000000002</v>
      </c>
    </row>
    <row r="23" spans="1:18">
      <c r="A23" s="57" t="s">
        <v>72</v>
      </c>
      <c r="B23" s="58" t="s">
        <v>29</v>
      </c>
      <c r="C23" s="57">
        <v>26627.427</v>
      </c>
      <c r="D23" s="57" t="s">
        <v>64</v>
      </c>
      <c r="E23">
        <f t="shared" si="0"/>
        <v>-4488.9704326514693</v>
      </c>
      <c r="F23">
        <f t="shared" si="1"/>
        <v>-4489</v>
      </c>
      <c r="G23">
        <f t="shared" si="2"/>
        <v>4.8209000000497326E-2</v>
      </c>
      <c r="H23">
        <f>+G23</f>
        <v>4.8209000000497326E-2</v>
      </c>
      <c r="O23">
        <f t="shared" ca="1" si="3"/>
        <v>-3.6977603735466907E-2</v>
      </c>
      <c r="Q23" s="2">
        <f t="shared" si="4"/>
        <v>11608.927</v>
      </c>
    </row>
    <row r="24" spans="1:18">
      <c r="A24" s="57" t="s">
        <v>83</v>
      </c>
      <c r="B24" s="58" t="s">
        <v>29</v>
      </c>
      <c r="C24" s="57">
        <v>28239.907999999999</v>
      </c>
      <c r="D24" s="57" t="s">
        <v>64</v>
      </c>
      <c r="E24">
        <f t="shared" si="0"/>
        <v>-3500.0101197131403</v>
      </c>
      <c r="F24">
        <f t="shared" si="1"/>
        <v>-3500</v>
      </c>
      <c r="G24">
        <f t="shared" si="2"/>
        <v>-1.6500000001542503E-2</v>
      </c>
      <c r="H24">
        <f>+G24</f>
        <v>-1.6500000001542503E-2</v>
      </c>
      <c r="O24">
        <f t="shared" ca="1" si="3"/>
        <v>-3.1767787314232139E-2</v>
      </c>
      <c r="Q24" s="2">
        <f t="shared" si="4"/>
        <v>13221.407999999999</v>
      </c>
    </row>
    <row r="25" spans="1:18">
      <c r="A25" s="57" t="s">
        <v>83</v>
      </c>
      <c r="B25" s="58" t="s">
        <v>42</v>
      </c>
      <c r="C25" s="57">
        <v>28304.345000000001</v>
      </c>
      <c r="D25" s="57" t="s">
        <v>64</v>
      </c>
      <c r="E25">
        <f t="shared" si="0"/>
        <v>-3460.4898799802013</v>
      </c>
      <c r="F25">
        <f t="shared" si="1"/>
        <v>-3460.5</v>
      </c>
      <c r="G25">
        <f t="shared" si="2"/>
        <v>1.6500500001711771E-2</v>
      </c>
      <c r="H25">
        <f>+G25</f>
        <v>1.6500500001711771E-2</v>
      </c>
      <c r="O25">
        <f t="shared" ca="1" si="3"/>
        <v>-3.1559710723090814E-2</v>
      </c>
      <c r="Q25" s="2">
        <f t="shared" si="4"/>
        <v>13285.845000000001</v>
      </c>
    </row>
    <row r="26" spans="1:18">
      <c r="A26" s="57" t="s">
        <v>90</v>
      </c>
      <c r="B26" s="58" t="s">
        <v>42</v>
      </c>
      <c r="C26" s="57">
        <v>33364.550999999999</v>
      </c>
      <c r="D26" s="57" t="s">
        <v>64</v>
      </c>
      <c r="E26">
        <f t="shared" si="0"/>
        <v>-356.9848406697169</v>
      </c>
      <c r="F26">
        <f t="shared" si="1"/>
        <v>-357</v>
      </c>
      <c r="G26">
        <f t="shared" si="2"/>
        <v>2.4717000000237022E-2</v>
      </c>
      <c r="I26">
        <f>+G26</f>
        <v>2.4717000000237022E-2</v>
      </c>
      <c r="O26">
        <f t="shared" ca="1" si="3"/>
        <v>-1.5211211973543673E-2</v>
      </c>
      <c r="Q26" s="2">
        <f t="shared" si="4"/>
        <v>18346.050999999999</v>
      </c>
    </row>
    <row r="27" spans="1:18">
      <c r="A27" s="57" t="s">
        <v>90</v>
      </c>
      <c r="B27" s="58" t="s">
        <v>42</v>
      </c>
      <c r="C27" s="57">
        <v>33589.485000000001</v>
      </c>
      <c r="D27" s="57" t="s">
        <v>64</v>
      </c>
      <c r="E27">
        <f t="shared" si="0"/>
        <v>-219.0292312513912</v>
      </c>
      <c r="F27">
        <f t="shared" si="1"/>
        <v>-219</v>
      </c>
      <c r="G27">
        <f t="shared" si="2"/>
        <v>-4.7660999996878672E-2</v>
      </c>
      <c r="I27">
        <f>+G27</f>
        <v>-4.7660999996878672E-2</v>
      </c>
      <c r="O27">
        <f t="shared" ca="1" si="3"/>
        <v>-1.4484260844999285E-2</v>
      </c>
      <c r="Q27" s="2">
        <f t="shared" si="4"/>
        <v>18570.985000000001</v>
      </c>
    </row>
    <row r="28" spans="1:18">
      <c r="A28" s="57" t="s">
        <v>90</v>
      </c>
      <c r="B28" s="58" t="s">
        <v>42</v>
      </c>
      <c r="C28" s="57">
        <v>33718.266000000003</v>
      </c>
      <c r="D28" s="57" t="s">
        <v>64</v>
      </c>
      <c r="E28">
        <f t="shared" si="0"/>
        <v>-140.04579016866612</v>
      </c>
      <c r="F28">
        <f t="shared" si="1"/>
        <v>-140</v>
      </c>
      <c r="G28">
        <f t="shared" si="2"/>
        <v>-7.4659999998402782E-2</v>
      </c>
      <c r="I28">
        <f>+G28</f>
        <v>-7.4659999998402782E-2</v>
      </c>
      <c r="O28">
        <f t="shared" ca="1" si="3"/>
        <v>-1.406810766271663E-2</v>
      </c>
      <c r="Q28" s="2">
        <f t="shared" si="4"/>
        <v>18699.766000000003</v>
      </c>
    </row>
    <row r="29" spans="1:18">
      <c r="A29" s="57" t="s">
        <v>83</v>
      </c>
      <c r="B29" s="58" t="s">
        <v>29</v>
      </c>
      <c r="C29" s="57">
        <v>33844.697999999997</v>
      </c>
      <c r="D29" s="57" t="s">
        <v>64</v>
      </c>
      <c r="E29">
        <f t="shared" si="0"/>
        <v>-62.503028247494747</v>
      </c>
      <c r="F29">
        <f t="shared" si="1"/>
        <v>-62.5</v>
      </c>
      <c r="G29">
        <f t="shared" si="2"/>
        <v>-4.9375000016880222E-3</v>
      </c>
      <c r="I29">
        <f>+G29</f>
        <v>-4.9375000016880222E-3</v>
      </c>
      <c r="O29">
        <f t="shared" ca="1" si="3"/>
        <v>-1.3659856123135543E-2</v>
      </c>
      <c r="Q29" s="2">
        <f t="shared" si="4"/>
        <v>18826.197999999997</v>
      </c>
    </row>
    <row r="30" spans="1:18">
      <c r="A30" s="57" t="s">
        <v>90</v>
      </c>
      <c r="B30" s="58" t="s">
        <v>42</v>
      </c>
      <c r="C30" s="57">
        <v>33946.529000000002</v>
      </c>
      <c r="D30" s="57" t="s">
        <v>64</v>
      </c>
      <c r="E30">
        <f t="shared" si="0"/>
        <v>-4.8451959880492029E-2</v>
      </c>
      <c r="F30">
        <f t="shared" si="1"/>
        <v>0</v>
      </c>
      <c r="G30">
        <f t="shared" si="2"/>
        <v>-7.8999999997904524E-2</v>
      </c>
      <c r="I30">
        <f>+G30</f>
        <v>-7.8999999997904524E-2</v>
      </c>
      <c r="O30">
        <f t="shared" ca="1" si="3"/>
        <v>-1.333062101057015E-2</v>
      </c>
      <c r="Q30" s="2">
        <f t="shared" si="4"/>
        <v>18928.029000000002</v>
      </c>
    </row>
    <row r="31" spans="1:18">
      <c r="A31" s="30" t="s">
        <v>13</v>
      </c>
      <c r="B31" s="30"/>
      <c r="C31" s="31">
        <f>+C4</f>
        <v>33946.608</v>
      </c>
      <c r="D31" s="31">
        <v>1E-3</v>
      </c>
      <c r="E31">
        <f t="shared" si="0"/>
        <v>0</v>
      </c>
      <c r="F31">
        <f t="shared" si="1"/>
        <v>0</v>
      </c>
      <c r="G31">
        <f t="shared" si="2"/>
        <v>0</v>
      </c>
      <c r="J31">
        <f>+G31</f>
        <v>0</v>
      </c>
      <c r="O31">
        <f t="shared" ca="1" si="3"/>
        <v>-1.333062101057015E-2</v>
      </c>
      <c r="Q31" s="2">
        <f t="shared" si="4"/>
        <v>18928.108</v>
      </c>
    </row>
    <row r="32" spans="1:18">
      <c r="A32" s="57" t="s">
        <v>90</v>
      </c>
      <c r="B32" s="58" t="s">
        <v>42</v>
      </c>
      <c r="C32" s="57">
        <v>33946.629999999997</v>
      </c>
      <c r="D32" s="57" t="s">
        <v>64</v>
      </c>
      <c r="E32">
        <f t="shared" si="0"/>
        <v>1.3492950851439563E-2</v>
      </c>
      <c r="F32">
        <f t="shared" si="1"/>
        <v>0</v>
      </c>
      <c r="G32">
        <f t="shared" si="2"/>
        <v>2.1999999997206032E-2</v>
      </c>
      <c r="I32">
        <f t="shared" ref="I32:I72" si="5">+G32</f>
        <v>2.1999999997206032E-2</v>
      </c>
      <c r="O32">
        <f t="shared" ca="1" si="3"/>
        <v>-1.333062101057015E-2</v>
      </c>
      <c r="Q32" s="2">
        <f t="shared" si="4"/>
        <v>18928.129999999997</v>
      </c>
    </row>
    <row r="33" spans="1:17">
      <c r="A33" s="57" t="s">
        <v>90</v>
      </c>
      <c r="B33" s="58" t="s">
        <v>42</v>
      </c>
      <c r="C33" s="57">
        <v>34036.245000000003</v>
      </c>
      <c r="D33" s="57" t="s">
        <v>64</v>
      </c>
      <c r="E33">
        <f t="shared" si="0"/>
        <v>54.975801619278265</v>
      </c>
      <c r="F33">
        <f t="shared" si="1"/>
        <v>55</v>
      </c>
      <c r="G33">
        <f t="shared" si="2"/>
        <v>-3.9454999998270068E-2</v>
      </c>
      <c r="I33">
        <f t="shared" si="5"/>
        <v>-3.9454999998270068E-2</v>
      </c>
      <c r="O33">
        <f t="shared" ca="1" si="3"/>
        <v>-1.3040894111512604E-2</v>
      </c>
      <c r="Q33" s="2">
        <f t="shared" si="4"/>
        <v>19017.745000000003</v>
      </c>
    </row>
    <row r="34" spans="1:17">
      <c r="A34" s="57" t="s">
        <v>90</v>
      </c>
      <c r="B34" s="58" t="s">
        <v>42</v>
      </c>
      <c r="C34" s="57">
        <v>34078.616000000002</v>
      </c>
      <c r="D34" s="57" t="s">
        <v>64</v>
      </c>
      <c r="E34">
        <f t="shared" si="0"/>
        <v>80.96261164650285</v>
      </c>
      <c r="F34">
        <f t="shared" si="1"/>
        <v>81</v>
      </c>
      <c r="G34">
        <f t="shared" si="2"/>
        <v>-6.0960999995586462E-2</v>
      </c>
      <c r="I34">
        <f t="shared" si="5"/>
        <v>-6.0960999995586462E-2</v>
      </c>
      <c r="O34">
        <f t="shared" ca="1" si="3"/>
        <v>-1.29039323046854E-2</v>
      </c>
      <c r="Q34" s="2">
        <f t="shared" si="4"/>
        <v>19060.116000000002</v>
      </c>
    </row>
    <row r="35" spans="1:17">
      <c r="A35" s="57" t="s">
        <v>90</v>
      </c>
      <c r="B35" s="58" t="s">
        <v>42</v>
      </c>
      <c r="C35" s="57">
        <v>34096.559999999998</v>
      </c>
      <c r="D35" s="57" t="s">
        <v>64</v>
      </c>
      <c r="E35">
        <f t="shared" si="0"/>
        <v>91.96795301509033</v>
      </c>
      <c r="F35">
        <f t="shared" si="1"/>
        <v>92</v>
      </c>
      <c r="G35">
        <f t="shared" si="2"/>
        <v>-5.2252000001317356E-2</v>
      </c>
      <c r="I35">
        <f t="shared" si="5"/>
        <v>-5.2252000001317356E-2</v>
      </c>
      <c r="O35">
        <f t="shared" ca="1" si="3"/>
        <v>-1.2845986924873891E-2</v>
      </c>
      <c r="Q35" s="2">
        <f t="shared" si="4"/>
        <v>19078.059999999998</v>
      </c>
    </row>
    <row r="36" spans="1:17">
      <c r="A36" s="57" t="s">
        <v>90</v>
      </c>
      <c r="B36" s="58" t="s">
        <v>42</v>
      </c>
      <c r="C36" s="57">
        <v>34098.302000000003</v>
      </c>
      <c r="D36" s="57" t="s">
        <v>64</v>
      </c>
      <c r="E36">
        <f t="shared" si="0"/>
        <v>93.036349396284365</v>
      </c>
      <c r="F36">
        <f t="shared" si="1"/>
        <v>93</v>
      </c>
      <c r="G36">
        <f t="shared" si="2"/>
        <v>5.9267000004183501E-2</v>
      </c>
      <c r="I36">
        <f t="shared" si="5"/>
        <v>5.9267000004183501E-2</v>
      </c>
      <c r="O36">
        <f t="shared" ca="1" si="3"/>
        <v>-1.2840719163072846E-2</v>
      </c>
      <c r="Q36" s="2">
        <f t="shared" si="4"/>
        <v>19079.802000000003</v>
      </c>
    </row>
    <row r="37" spans="1:17">
      <c r="A37" s="57" t="s">
        <v>90</v>
      </c>
      <c r="B37" s="58" t="s">
        <v>42</v>
      </c>
      <c r="C37" s="57">
        <v>34114.527999999998</v>
      </c>
      <c r="D37" s="57" t="s">
        <v>64</v>
      </c>
      <c r="E37">
        <f t="shared" si="0"/>
        <v>102.98801396642969</v>
      </c>
      <c r="F37">
        <f t="shared" si="1"/>
        <v>103</v>
      </c>
      <c r="G37">
        <f t="shared" si="2"/>
        <v>-1.9543000002158806E-2</v>
      </c>
      <c r="I37">
        <f t="shared" si="5"/>
        <v>-1.9543000002158806E-2</v>
      </c>
      <c r="O37">
        <f t="shared" ca="1" si="3"/>
        <v>-1.2788041545062382E-2</v>
      </c>
      <c r="Q37" s="2">
        <f t="shared" si="4"/>
        <v>19096.027999999998</v>
      </c>
    </row>
    <row r="38" spans="1:17">
      <c r="A38" s="57" t="s">
        <v>90</v>
      </c>
      <c r="B38" s="58" t="s">
        <v>42</v>
      </c>
      <c r="C38" s="57">
        <v>34119.432999999997</v>
      </c>
      <c r="D38" s="57" t="s">
        <v>64</v>
      </c>
      <c r="E38">
        <f t="shared" si="0"/>
        <v>105.99632869073426</v>
      </c>
      <c r="F38">
        <f t="shared" si="1"/>
        <v>106</v>
      </c>
      <c r="G38">
        <f t="shared" si="2"/>
        <v>-5.9860000037588179E-3</v>
      </c>
      <c r="I38">
        <f t="shared" si="5"/>
        <v>-5.9860000037588179E-3</v>
      </c>
      <c r="O38">
        <f t="shared" ca="1" si="3"/>
        <v>-1.2772238259659244E-2</v>
      </c>
      <c r="Q38" s="2">
        <f t="shared" si="4"/>
        <v>19100.932999999997</v>
      </c>
    </row>
    <row r="39" spans="1:17">
      <c r="A39" s="57" t="s">
        <v>90</v>
      </c>
      <c r="B39" s="58" t="s">
        <v>42</v>
      </c>
      <c r="C39" s="57">
        <v>34119.485000000001</v>
      </c>
      <c r="D39" s="57" t="s">
        <v>64</v>
      </c>
      <c r="E39">
        <f t="shared" si="0"/>
        <v>106.02822112002556</v>
      </c>
      <c r="F39">
        <f t="shared" si="1"/>
        <v>106</v>
      </c>
      <c r="G39">
        <f t="shared" si="2"/>
        <v>4.6013999999559019E-2</v>
      </c>
      <c r="I39">
        <f t="shared" si="5"/>
        <v>4.6013999999559019E-2</v>
      </c>
      <c r="O39">
        <f t="shared" ca="1" si="3"/>
        <v>-1.2772238259659244E-2</v>
      </c>
      <c r="Q39" s="2">
        <f t="shared" si="4"/>
        <v>19100.985000000001</v>
      </c>
    </row>
    <row r="40" spans="1:17">
      <c r="A40" s="57" t="s">
        <v>83</v>
      </c>
      <c r="B40" s="58" t="s">
        <v>42</v>
      </c>
      <c r="C40" s="57">
        <v>34419.442000000003</v>
      </c>
      <c r="D40" s="57" t="s">
        <v>64</v>
      </c>
      <c r="E40">
        <f t="shared" si="0"/>
        <v>289.99663289544776</v>
      </c>
      <c r="F40">
        <f t="shared" si="1"/>
        <v>290</v>
      </c>
      <c r="G40">
        <f t="shared" si="2"/>
        <v>-5.4899999959161505E-3</v>
      </c>
      <c r="I40">
        <f t="shared" si="5"/>
        <v>-5.4899999959161505E-3</v>
      </c>
      <c r="O40">
        <f t="shared" ca="1" si="3"/>
        <v>-1.1802970088266728E-2</v>
      </c>
      <c r="Q40" s="2">
        <f t="shared" si="4"/>
        <v>19400.942000000003</v>
      </c>
    </row>
    <row r="41" spans="1:17">
      <c r="A41" s="57" t="s">
        <v>83</v>
      </c>
      <c r="B41" s="58" t="s">
        <v>29</v>
      </c>
      <c r="C41" s="57">
        <v>34485.478999999999</v>
      </c>
      <c r="D41" s="57" t="s">
        <v>64</v>
      </c>
      <c r="E41">
        <f t="shared" si="0"/>
        <v>330.49817814497635</v>
      </c>
      <c r="F41">
        <f t="shared" si="1"/>
        <v>330.5</v>
      </c>
      <c r="G41">
        <f t="shared" si="2"/>
        <v>-2.9704999979003333E-3</v>
      </c>
      <c r="I41">
        <f t="shared" si="5"/>
        <v>-2.9704999979003333E-3</v>
      </c>
      <c r="O41">
        <f t="shared" ca="1" si="3"/>
        <v>-1.1589625735324353E-2</v>
      </c>
      <c r="Q41" s="2">
        <f t="shared" si="4"/>
        <v>19466.978999999999</v>
      </c>
    </row>
    <row r="42" spans="1:17">
      <c r="A42" s="57" t="s">
        <v>83</v>
      </c>
      <c r="B42" s="58" t="s">
        <v>29</v>
      </c>
      <c r="C42" s="57">
        <v>35023.54</v>
      </c>
      <c r="D42" s="57" t="s">
        <v>64</v>
      </c>
      <c r="E42">
        <f t="shared" si="0"/>
        <v>660.49957037217894</v>
      </c>
      <c r="F42">
        <f t="shared" si="1"/>
        <v>660.5</v>
      </c>
      <c r="G42">
        <f t="shared" si="2"/>
        <v>-7.0050000067567453E-4</v>
      </c>
      <c r="I42">
        <f t="shared" si="5"/>
        <v>-7.0050000067567453E-4</v>
      </c>
      <c r="O42">
        <f t="shared" ca="1" si="3"/>
        <v>-9.8512643409790802E-3</v>
      </c>
      <c r="Q42" s="2">
        <f t="shared" si="4"/>
        <v>20005.04</v>
      </c>
    </row>
    <row r="43" spans="1:17">
      <c r="A43" s="57" t="s">
        <v>83</v>
      </c>
      <c r="B43" s="58" t="s">
        <v>42</v>
      </c>
      <c r="C43" s="57">
        <v>35145.016000000003</v>
      </c>
      <c r="D43" s="57" t="s">
        <v>64</v>
      </c>
      <c r="E43">
        <f t="shared" si="0"/>
        <v>735.00273845570905</v>
      </c>
      <c r="F43">
        <f t="shared" si="1"/>
        <v>735</v>
      </c>
      <c r="G43">
        <f t="shared" si="2"/>
        <v>4.4650000054389238E-3</v>
      </c>
      <c r="I43">
        <f t="shared" si="5"/>
        <v>4.4650000054389238E-3</v>
      </c>
      <c r="O43">
        <f t="shared" ca="1" si="3"/>
        <v>-9.4588160868011324E-3</v>
      </c>
      <c r="Q43" s="2">
        <f t="shared" si="4"/>
        <v>20126.516000000003</v>
      </c>
    </row>
    <row r="44" spans="1:17">
      <c r="A44" s="57" t="s">
        <v>141</v>
      </c>
      <c r="B44" s="58" t="s">
        <v>42</v>
      </c>
      <c r="C44" s="57">
        <v>36780.417999999998</v>
      </c>
      <c r="D44" s="57" t="s">
        <v>64</v>
      </c>
      <c r="E44">
        <f t="shared" si="0"/>
        <v>1738.020866235177</v>
      </c>
      <c r="F44">
        <f t="shared" si="1"/>
        <v>1738</v>
      </c>
      <c r="G44">
        <f t="shared" si="2"/>
        <v>3.4021999999822583E-2</v>
      </c>
      <c r="I44">
        <f t="shared" si="5"/>
        <v>3.4021999999822583E-2</v>
      </c>
      <c r="O44">
        <f t="shared" ca="1" si="3"/>
        <v>-4.1752510003517113E-3</v>
      </c>
      <c r="Q44" s="2">
        <f t="shared" si="4"/>
        <v>21761.917999999998</v>
      </c>
    </row>
    <row r="45" spans="1:17">
      <c r="A45" s="57" t="s">
        <v>141</v>
      </c>
      <c r="B45" s="58" t="s">
        <v>42</v>
      </c>
      <c r="C45" s="57">
        <v>36806.39</v>
      </c>
      <c r="D45" s="57" t="s">
        <v>64</v>
      </c>
      <c r="E45">
        <f t="shared" si="0"/>
        <v>1753.949908033273</v>
      </c>
      <c r="F45">
        <f t="shared" si="1"/>
        <v>1754</v>
      </c>
      <c r="G45">
        <f t="shared" si="2"/>
        <v>-8.1674000000930391E-2</v>
      </c>
      <c r="I45">
        <f t="shared" si="5"/>
        <v>-8.1674000000930391E-2</v>
      </c>
      <c r="O45">
        <f t="shared" ca="1" si="3"/>
        <v>-4.0909668115349709E-3</v>
      </c>
      <c r="Q45" s="2">
        <f t="shared" si="4"/>
        <v>21787.89</v>
      </c>
    </row>
    <row r="46" spans="1:17">
      <c r="A46" s="57" t="s">
        <v>141</v>
      </c>
      <c r="B46" s="58" t="s">
        <v>42</v>
      </c>
      <c r="C46" s="57">
        <v>36842.341</v>
      </c>
      <c r="D46" s="57" t="s">
        <v>64</v>
      </c>
      <c r="E46">
        <f t="shared" si="0"/>
        <v>1775.9992296751695</v>
      </c>
      <c r="F46">
        <f t="shared" si="1"/>
        <v>1776</v>
      </c>
      <c r="G46">
        <f t="shared" si="2"/>
        <v>-1.2560000031953678E-3</v>
      </c>
      <c r="I46">
        <f t="shared" si="5"/>
        <v>-1.2560000031953678E-3</v>
      </c>
      <c r="O46">
        <f t="shared" ca="1" si="3"/>
        <v>-3.9750760519119532E-3</v>
      </c>
      <c r="Q46" s="2">
        <f t="shared" si="4"/>
        <v>21823.841</v>
      </c>
    </row>
    <row r="47" spans="1:17">
      <c r="A47" s="57" t="s">
        <v>141</v>
      </c>
      <c r="B47" s="58" t="s">
        <v>42</v>
      </c>
      <c r="C47" s="57">
        <v>36896.216999999997</v>
      </c>
      <c r="D47" s="57" t="s">
        <v>64</v>
      </c>
      <c r="E47">
        <f t="shared" si="0"/>
        <v>1809.0422396826436</v>
      </c>
      <c r="F47">
        <f t="shared" si="1"/>
        <v>1809</v>
      </c>
      <c r="G47">
        <f t="shared" si="2"/>
        <v>6.8870999995851889E-2</v>
      </c>
      <c r="I47">
        <f t="shared" si="5"/>
        <v>6.8870999995851889E-2</v>
      </c>
      <c r="O47">
        <f t="shared" ca="1" si="3"/>
        <v>-3.8012399124774249E-3</v>
      </c>
      <c r="Q47" s="2">
        <f t="shared" si="4"/>
        <v>21877.716999999997</v>
      </c>
    </row>
    <row r="48" spans="1:17">
      <c r="A48" s="57" t="s">
        <v>141</v>
      </c>
      <c r="B48" s="58" t="s">
        <v>42</v>
      </c>
      <c r="C48" s="57">
        <v>36922.232000000004</v>
      </c>
      <c r="D48" s="57" t="s">
        <v>64</v>
      </c>
      <c r="E48">
        <f t="shared" si="0"/>
        <v>1824.9976540665014</v>
      </c>
      <c r="F48">
        <f t="shared" si="1"/>
        <v>1825</v>
      </c>
      <c r="G48">
        <f t="shared" si="2"/>
        <v>-3.8249999997788109E-3</v>
      </c>
      <c r="I48">
        <f t="shared" si="5"/>
        <v>-3.8249999997788109E-3</v>
      </c>
      <c r="O48">
        <f t="shared" ca="1" si="3"/>
        <v>-3.7169557236606844E-3</v>
      </c>
      <c r="Q48" s="2">
        <f t="shared" si="4"/>
        <v>21903.732000000004</v>
      </c>
    </row>
    <row r="49" spans="1:17">
      <c r="A49" s="57" t="s">
        <v>141</v>
      </c>
      <c r="B49" s="58" t="s">
        <v>42</v>
      </c>
      <c r="C49" s="57">
        <v>37116.394999999997</v>
      </c>
      <c r="D49" s="57" t="s">
        <v>64</v>
      </c>
      <c r="E49">
        <f t="shared" si="0"/>
        <v>1944.0809184528962</v>
      </c>
      <c r="F49">
        <f t="shared" si="1"/>
        <v>1944</v>
      </c>
      <c r="G49">
        <f t="shared" si="2"/>
        <v>0.13193599999794969</v>
      </c>
      <c r="I49">
        <f t="shared" si="5"/>
        <v>0.13193599999794969</v>
      </c>
      <c r="O49">
        <f t="shared" ca="1" si="3"/>
        <v>-3.0900920693361766E-3</v>
      </c>
      <c r="Q49" s="2">
        <f t="shared" si="4"/>
        <v>22097.894999999997</v>
      </c>
    </row>
    <row r="50" spans="1:17">
      <c r="A50" s="57" t="s">
        <v>141</v>
      </c>
      <c r="B50" s="58" t="s">
        <v>42</v>
      </c>
      <c r="C50" s="57">
        <v>37168.434000000001</v>
      </c>
      <c r="D50" s="57" t="s">
        <v>64</v>
      </c>
      <c r="E50">
        <f t="shared" si="0"/>
        <v>1975.9972670641368</v>
      </c>
      <c r="F50">
        <f t="shared" si="1"/>
        <v>1976</v>
      </c>
      <c r="G50">
        <f t="shared" si="2"/>
        <v>-4.456000002392102E-3</v>
      </c>
      <c r="I50">
        <f t="shared" si="5"/>
        <v>-4.456000002392102E-3</v>
      </c>
      <c r="O50">
        <f t="shared" ca="1" si="3"/>
        <v>-2.9215236917026956E-3</v>
      </c>
      <c r="Q50" s="2">
        <f t="shared" si="4"/>
        <v>22149.934000000001</v>
      </c>
    </row>
    <row r="51" spans="1:17">
      <c r="A51" s="57" t="s">
        <v>141</v>
      </c>
      <c r="B51" s="58" t="s">
        <v>42</v>
      </c>
      <c r="C51" s="57">
        <v>37173.356</v>
      </c>
      <c r="D51" s="57" t="s">
        <v>64</v>
      </c>
      <c r="E51">
        <f t="shared" si="0"/>
        <v>1979.016008159555</v>
      </c>
      <c r="F51">
        <f t="shared" si="1"/>
        <v>1979</v>
      </c>
      <c r="G51">
        <f t="shared" si="2"/>
        <v>2.6100999995833263E-2</v>
      </c>
      <c r="I51">
        <f t="shared" si="5"/>
        <v>2.6100999995833263E-2</v>
      </c>
      <c r="O51">
        <f t="shared" ca="1" si="3"/>
        <v>-2.905720406299557E-3</v>
      </c>
      <c r="Q51" s="2">
        <f t="shared" si="4"/>
        <v>22154.856</v>
      </c>
    </row>
    <row r="52" spans="1:17">
      <c r="A52" s="57" t="s">
        <v>141</v>
      </c>
      <c r="B52" s="58" t="s">
        <v>42</v>
      </c>
      <c r="C52" s="57">
        <v>37253.224000000002</v>
      </c>
      <c r="D52" s="57" t="s">
        <v>64</v>
      </c>
      <c r="E52">
        <f t="shared" si="0"/>
        <v>2028.0003262840853</v>
      </c>
      <c r="F52">
        <f t="shared" si="1"/>
        <v>2028</v>
      </c>
      <c r="G52">
        <f t="shared" si="2"/>
        <v>5.3200000547803938E-4</v>
      </c>
      <c r="I52">
        <f t="shared" si="5"/>
        <v>5.3200000547803938E-4</v>
      </c>
      <c r="O52">
        <f t="shared" ca="1" si="3"/>
        <v>-2.64760007804829E-3</v>
      </c>
      <c r="Q52" s="2">
        <f t="shared" si="4"/>
        <v>22234.724000000002</v>
      </c>
    </row>
    <row r="53" spans="1:17">
      <c r="A53" s="57" t="s">
        <v>141</v>
      </c>
      <c r="B53" s="58" t="s">
        <v>42</v>
      </c>
      <c r="C53" s="57">
        <v>37468.421999999999</v>
      </c>
      <c r="D53" s="57" t="s">
        <v>64</v>
      </c>
      <c r="E53">
        <f t="shared" ref="E53:E84" si="6">+(C53-C$7)/C$8</f>
        <v>2159.9846916339402</v>
      </c>
      <c r="F53">
        <f t="shared" ref="F53:F84" si="7">ROUND(2*E53,0)/2</f>
        <v>2160</v>
      </c>
      <c r="G53">
        <f t="shared" ref="G53:G84" si="8">+C53-(C$7+F53*C$8)</f>
        <v>-2.4960000002465677E-2</v>
      </c>
      <c r="I53">
        <f t="shared" si="5"/>
        <v>-2.4960000002465677E-2</v>
      </c>
      <c r="O53">
        <f t="shared" ref="O53:O84" ca="1" si="9">+C$11+C$12*$F53</f>
        <v>-1.9522555203101803E-3</v>
      </c>
      <c r="Q53" s="2">
        <f t="shared" ref="Q53:Q84" si="10">+C53-15018.5</f>
        <v>22449.921999999999</v>
      </c>
    </row>
    <row r="54" spans="1:17">
      <c r="A54" s="57" t="s">
        <v>141</v>
      </c>
      <c r="B54" s="58" t="s">
        <v>42</v>
      </c>
      <c r="C54" s="57">
        <v>37499.461000000003</v>
      </c>
      <c r="D54" s="57" t="s">
        <v>64</v>
      </c>
      <c r="E54">
        <f t="shared" si="6"/>
        <v>2179.0214053398981</v>
      </c>
      <c r="F54">
        <f t="shared" si="7"/>
        <v>2179</v>
      </c>
      <c r="G54">
        <f t="shared" si="8"/>
        <v>3.490099999908125E-2</v>
      </c>
      <c r="I54">
        <f t="shared" si="5"/>
        <v>3.490099999908125E-2</v>
      </c>
      <c r="O54">
        <f t="shared" ca="1" si="9"/>
        <v>-1.8521680460903012E-3</v>
      </c>
      <c r="Q54" s="2">
        <f t="shared" si="10"/>
        <v>22480.961000000003</v>
      </c>
    </row>
    <row r="55" spans="1:17">
      <c r="A55" s="57" t="s">
        <v>141</v>
      </c>
      <c r="B55" s="58" t="s">
        <v>42</v>
      </c>
      <c r="C55" s="57">
        <v>37517.375</v>
      </c>
      <c r="D55" s="57" t="s">
        <v>64</v>
      </c>
      <c r="E55">
        <f t="shared" si="6"/>
        <v>2190.0083472300503</v>
      </c>
      <c r="F55">
        <f t="shared" si="7"/>
        <v>2190</v>
      </c>
      <c r="G55">
        <f t="shared" si="8"/>
        <v>1.3610000001790468E-2</v>
      </c>
      <c r="I55">
        <f t="shared" si="5"/>
        <v>1.3610000001790468E-2</v>
      </c>
      <c r="O55">
        <f t="shared" ca="1" si="9"/>
        <v>-1.7942226662787907E-3</v>
      </c>
      <c r="Q55" s="2">
        <f t="shared" si="10"/>
        <v>22498.875</v>
      </c>
    </row>
    <row r="56" spans="1:17">
      <c r="A56" s="57" t="s">
        <v>141</v>
      </c>
      <c r="B56" s="58" t="s">
        <v>42</v>
      </c>
      <c r="C56" s="57">
        <v>37548.406000000003</v>
      </c>
      <c r="D56" s="57" t="s">
        <v>64</v>
      </c>
      <c r="E56">
        <f t="shared" si="6"/>
        <v>2209.0401544084243</v>
      </c>
      <c r="F56">
        <f t="shared" si="7"/>
        <v>2209</v>
      </c>
      <c r="G56">
        <f t="shared" si="8"/>
        <v>6.547100000170758E-2</v>
      </c>
      <c r="I56">
        <f t="shared" si="5"/>
        <v>6.547100000170758E-2</v>
      </c>
      <c r="O56">
        <f t="shared" ca="1" si="9"/>
        <v>-1.6941351920589116E-3</v>
      </c>
      <c r="Q56" s="2">
        <f t="shared" si="10"/>
        <v>22529.906000000003</v>
      </c>
    </row>
    <row r="57" spans="1:17">
      <c r="A57" s="57" t="s">
        <v>141</v>
      </c>
      <c r="B57" s="58" t="s">
        <v>42</v>
      </c>
      <c r="C57" s="57">
        <v>37584.252</v>
      </c>
      <c r="D57" s="57" t="s">
        <v>64</v>
      </c>
      <c r="E57">
        <f t="shared" si="6"/>
        <v>2231.0250778757927</v>
      </c>
      <c r="F57">
        <f t="shared" si="7"/>
        <v>2231</v>
      </c>
      <c r="G57">
        <f t="shared" si="8"/>
        <v>4.088900000351714E-2</v>
      </c>
      <c r="I57">
        <f t="shared" si="5"/>
        <v>4.088900000351714E-2</v>
      </c>
      <c r="O57">
        <f t="shared" ca="1" si="9"/>
        <v>-1.5782444324358939E-3</v>
      </c>
      <c r="Q57" s="2">
        <f t="shared" si="10"/>
        <v>22565.752</v>
      </c>
    </row>
    <row r="58" spans="1:17">
      <c r="A58" s="57" t="s">
        <v>141</v>
      </c>
      <c r="B58" s="58" t="s">
        <v>42</v>
      </c>
      <c r="C58" s="57">
        <v>37615.222999999998</v>
      </c>
      <c r="D58" s="57" t="s">
        <v>64</v>
      </c>
      <c r="E58">
        <f t="shared" si="6"/>
        <v>2250.0200860972914</v>
      </c>
      <c r="F58">
        <f t="shared" si="7"/>
        <v>2250</v>
      </c>
      <c r="G58">
        <f t="shared" si="8"/>
        <v>3.2749999998486601E-2</v>
      </c>
      <c r="I58">
        <f t="shared" si="5"/>
        <v>3.2749999998486601E-2</v>
      </c>
      <c r="O58">
        <f t="shared" ca="1" si="9"/>
        <v>-1.4781569582160148E-3</v>
      </c>
      <c r="Q58" s="2">
        <f t="shared" si="10"/>
        <v>22596.722999999998</v>
      </c>
    </row>
    <row r="59" spans="1:17">
      <c r="A59" s="57" t="s">
        <v>141</v>
      </c>
      <c r="B59" s="58" t="s">
        <v>42</v>
      </c>
      <c r="C59" s="57">
        <v>37641.207999999999</v>
      </c>
      <c r="D59" s="57" t="s">
        <v>64</v>
      </c>
      <c r="E59">
        <f t="shared" si="6"/>
        <v>2265.9571010027094</v>
      </c>
      <c r="F59">
        <f t="shared" si="7"/>
        <v>2266</v>
      </c>
      <c r="G59">
        <f t="shared" si="8"/>
        <v>-6.9946000003255904E-2</v>
      </c>
      <c r="I59">
        <f t="shared" si="5"/>
        <v>-6.9946000003255904E-2</v>
      </c>
      <c r="O59">
        <f t="shared" ca="1" si="9"/>
        <v>-1.3938727693992743E-3</v>
      </c>
      <c r="Q59" s="2">
        <f t="shared" si="10"/>
        <v>22622.707999999999</v>
      </c>
    </row>
    <row r="60" spans="1:17">
      <c r="A60" s="57" t="s">
        <v>141</v>
      </c>
      <c r="B60" s="58" t="s">
        <v>42</v>
      </c>
      <c r="C60" s="57">
        <v>37659.22</v>
      </c>
      <c r="D60" s="57" t="s">
        <v>64</v>
      </c>
      <c r="E60">
        <f t="shared" si="6"/>
        <v>2277.0041478557559</v>
      </c>
      <c r="F60">
        <f t="shared" si="7"/>
        <v>2277</v>
      </c>
      <c r="G60">
        <f t="shared" si="8"/>
        <v>6.7629999975906685E-3</v>
      </c>
      <c r="I60">
        <f t="shared" si="5"/>
        <v>6.7629999975906685E-3</v>
      </c>
      <c r="O60">
        <f t="shared" ca="1" si="9"/>
        <v>-1.3359273895877655E-3</v>
      </c>
      <c r="Q60" s="2">
        <f t="shared" si="10"/>
        <v>22640.720000000001</v>
      </c>
    </row>
    <row r="61" spans="1:17">
      <c r="A61" s="57" t="s">
        <v>141</v>
      </c>
      <c r="B61" s="58" t="s">
        <v>42</v>
      </c>
      <c r="C61" s="57">
        <v>37928.31</v>
      </c>
      <c r="D61" s="57" t="s">
        <v>64</v>
      </c>
      <c r="E61">
        <f t="shared" si="6"/>
        <v>2442.041336268253</v>
      </c>
      <c r="F61">
        <f t="shared" si="7"/>
        <v>2442</v>
      </c>
      <c r="G61">
        <f t="shared" si="8"/>
        <v>6.7397999999229796E-2</v>
      </c>
      <c r="I61">
        <f t="shared" si="5"/>
        <v>6.7397999999229796E-2</v>
      </c>
      <c r="O61">
        <f t="shared" ca="1" si="9"/>
        <v>-4.6674669241512749E-4</v>
      </c>
      <c r="Q61" s="2">
        <f t="shared" si="10"/>
        <v>22909.809999999998</v>
      </c>
    </row>
    <row r="62" spans="1:17">
      <c r="A62" s="57" t="s">
        <v>141</v>
      </c>
      <c r="B62" s="58" t="s">
        <v>42</v>
      </c>
      <c r="C62" s="57">
        <v>38316.32</v>
      </c>
      <c r="D62" s="57" t="s">
        <v>64</v>
      </c>
      <c r="E62">
        <f t="shared" si="6"/>
        <v>2680.0140572015248</v>
      </c>
      <c r="F62">
        <f t="shared" si="7"/>
        <v>2680</v>
      </c>
      <c r="G62">
        <f t="shared" si="8"/>
        <v>2.291999999579275E-2</v>
      </c>
      <c r="I62">
        <f t="shared" si="5"/>
        <v>2.291999999579275E-2</v>
      </c>
      <c r="O62">
        <f t="shared" ca="1" si="9"/>
        <v>7.8698061623388646E-4</v>
      </c>
      <c r="Q62" s="2">
        <f t="shared" si="10"/>
        <v>23297.82</v>
      </c>
    </row>
    <row r="63" spans="1:17">
      <c r="A63" s="57" t="s">
        <v>198</v>
      </c>
      <c r="B63" s="58" t="s">
        <v>42</v>
      </c>
      <c r="C63" s="57">
        <v>43096.864000000001</v>
      </c>
      <c r="D63" s="57" t="s">
        <v>64</v>
      </c>
      <c r="E63">
        <f t="shared" si="6"/>
        <v>5611.9979318986243</v>
      </c>
      <c r="F63">
        <f t="shared" si="7"/>
        <v>5612</v>
      </c>
      <c r="G63">
        <f t="shared" si="8"/>
        <v>-3.3719999992172234E-3</v>
      </c>
      <c r="I63">
        <f t="shared" si="5"/>
        <v>-3.3719999992172234E-3</v>
      </c>
      <c r="O63">
        <f t="shared" ca="1" si="9"/>
        <v>1.6232058216901588E-2</v>
      </c>
      <c r="Q63" s="2">
        <f t="shared" si="10"/>
        <v>28078.364000000001</v>
      </c>
    </row>
    <row r="64" spans="1:17">
      <c r="A64" s="57" t="s">
        <v>198</v>
      </c>
      <c r="B64" s="58" t="s">
        <v>42</v>
      </c>
      <c r="C64" s="57">
        <v>43096.868000000002</v>
      </c>
      <c r="D64" s="57" t="s">
        <v>64</v>
      </c>
      <c r="E64">
        <f t="shared" si="6"/>
        <v>5612.000385162416</v>
      </c>
      <c r="F64">
        <f t="shared" si="7"/>
        <v>5612</v>
      </c>
      <c r="G64">
        <f t="shared" si="8"/>
        <v>6.2800000159768388E-4</v>
      </c>
      <c r="I64">
        <f t="shared" si="5"/>
        <v>6.2800000159768388E-4</v>
      </c>
      <c r="O64">
        <f t="shared" ca="1" si="9"/>
        <v>1.6232058216901588E-2</v>
      </c>
      <c r="Q64" s="2">
        <f t="shared" si="10"/>
        <v>28078.368000000002</v>
      </c>
    </row>
    <row r="65" spans="1:17">
      <c r="A65" s="57" t="s">
        <v>198</v>
      </c>
      <c r="B65" s="58" t="s">
        <v>42</v>
      </c>
      <c r="C65" s="57">
        <v>43326.771999999997</v>
      </c>
      <c r="D65" s="57" t="s">
        <v>64</v>
      </c>
      <c r="E65">
        <f t="shared" si="6"/>
        <v>5753.0041748416552</v>
      </c>
      <c r="F65">
        <f t="shared" si="7"/>
        <v>5753</v>
      </c>
      <c r="G65">
        <f t="shared" si="8"/>
        <v>6.8069999979343265E-3</v>
      </c>
      <c r="I65">
        <f t="shared" si="5"/>
        <v>6.8069999979343265E-3</v>
      </c>
      <c r="O65">
        <f t="shared" ca="1" si="9"/>
        <v>1.6974812630849111E-2</v>
      </c>
      <c r="Q65" s="2">
        <f t="shared" si="10"/>
        <v>28308.271999999997</v>
      </c>
    </row>
    <row r="66" spans="1:17">
      <c r="A66" s="57" t="s">
        <v>198</v>
      </c>
      <c r="B66" s="58" t="s">
        <v>42</v>
      </c>
      <c r="C66" s="57">
        <v>43701.771000000001</v>
      </c>
      <c r="D66" s="57" t="s">
        <v>64</v>
      </c>
      <c r="E66">
        <f t="shared" si="6"/>
        <v>5982.9970419771835</v>
      </c>
      <c r="F66">
        <f t="shared" si="7"/>
        <v>5983</v>
      </c>
      <c r="G66">
        <f t="shared" si="8"/>
        <v>-4.823000002943445E-3</v>
      </c>
      <c r="I66">
        <f t="shared" si="5"/>
        <v>-4.823000002943445E-3</v>
      </c>
      <c r="O66">
        <f t="shared" ca="1" si="9"/>
        <v>1.8186397845089755E-2</v>
      </c>
      <c r="Q66" s="2">
        <f t="shared" si="10"/>
        <v>28683.271000000001</v>
      </c>
    </row>
    <row r="67" spans="1:17">
      <c r="A67" s="57" t="s">
        <v>198</v>
      </c>
      <c r="B67" s="58" t="s">
        <v>42</v>
      </c>
      <c r="C67" s="57">
        <v>44081.694000000003</v>
      </c>
      <c r="D67" s="57" t="s">
        <v>64</v>
      </c>
      <c r="E67">
        <f t="shared" si="6"/>
        <v>6216.0098768400258</v>
      </c>
      <c r="F67">
        <f t="shared" si="7"/>
        <v>6216</v>
      </c>
      <c r="G67">
        <f t="shared" si="8"/>
        <v>1.610400000208756E-2</v>
      </c>
      <c r="I67">
        <f t="shared" si="5"/>
        <v>1.610400000208756E-2</v>
      </c>
      <c r="O67">
        <f t="shared" ca="1" si="9"/>
        <v>1.9413786344733543E-2</v>
      </c>
      <c r="Q67" s="2">
        <f t="shared" si="10"/>
        <v>29063.194000000003</v>
      </c>
    </row>
    <row r="68" spans="1:17">
      <c r="A68" s="57" t="s">
        <v>198</v>
      </c>
      <c r="B68" s="58" t="s">
        <v>42</v>
      </c>
      <c r="C68" s="57">
        <v>44593.656999999999</v>
      </c>
      <c r="D68" s="57" t="s">
        <v>64</v>
      </c>
      <c r="E68">
        <f t="shared" si="6"/>
        <v>6530.0049494596988</v>
      </c>
      <c r="F68">
        <f t="shared" si="7"/>
        <v>6530</v>
      </c>
      <c r="G68">
        <f t="shared" si="8"/>
        <v>8.069999996223487E-3</v>
      </c>
      <c r="I68">
        <f t="shared" si="5"/>
        <v>8.069999996223487E-3</v>
      </c>
      <c r="O68">
        <f t="shared" ca="1" si="9"/>
        <v>2.1067863550262071E-2</v>
      </c>
      <c r="Q68" s="2">
        <f t="shared" si="10"/>
        <v>29575.156999999999</v>
      </c>
    </row>
    <row r="69" spans="1:17">
      <c r="A69" s="57" t="s">
        <v>198</v>
      </c>
      <c r="B69" s="58" t="s">
        <v>42</v>
      </c>
      <c r="C69" s="57">
        <v>45193.678</v>
      </c>
      <c r="D69" s="57" t="s">
        <v>64</v>
      </c>
      <c r="E69">
        <f t="shared" si="6"/>
        <v>6898.007397816963</v>
      </c>
      <c r="F69">
        <f t="shared" si="7"/>
        <v>6898</v>
      </c>
      <c r="G69">
        <f t="shared" si="8"/>
        <v>1.2062000001606066E-2</v>
      </c>
      <c r="I69">
        <f t="shared" si="5"/>
        <v>1.2062000001606066E-2</v>
      </c>
      <c r="O69">
        <f t="shared" ca="1" si="9"/>
        <v>2.3006399893047105E-2</v>
      </c>
      <c r="Q69" s="2">
        <f t="shared" si="10"/>
        <v>30175.178</v>
      </c>
    </row>
    <row r="70" spans="1:17">
      <c r="A70" s="57" t="s">
        <v>198</v>
      </c>
      <c r="B70" s="58" t="s">
        <v>42</v>
      </c>
      <c r="C70" s="57">
        <v>45643.686999999998</v>
      </c>
      <c r="D70" s="57" t="s">
        <v>64</v>
      </c>
      <c r="E70">
        <f t="shared" si="6"/>
        <v>7174.0050942022617</v>
      </c>
      <c r="F70">
        <f t="shared" si="7"/>
        <v>7174</v>
      </c>
      <c r="G70">
        <f t="shared" si="8"/>
        <v>8.3059999960823916E-3</v>
      </c>
      <c r="I70">
        <f t="shared" si="5"/>
        <v>8.3059999960823916E-3</v>
      </c>
      <c r="O70">
        <f t="shared" ca="1" si="9"/>
        <v>2.4460302150135879E-2</v>
      </c>
      <c r="Q70" s="2">
        <f t="shared" si="10"/>
        <v>30625.186999999998</v>
      </c>
    </row>
    <row r="71" spans="1:17">
      <c r="A71" s="57" t="s">
        <v>198</v>
      </c>
      <c r="B71" s="58" t="s">
        <v>42</v>
      </c>
      <c r="C71" s="57">
        <v>46804.607000000004</v>
      </c>
      <c r="D71" s="57" t="s">
        <v>64</v>
      </c>
      <c r="E71">
        <f t="shared" si="6"/>
        <v>7886.015844404199</v>
      </c>
      <c r="F71">
        <f t="shared" si="7"/>
        <v>7886</v>
      </c>
      <c r="G71">
        <f t="shared" si="8"/>
        <v>2.5834000000031665E-2</v>
      </c>
      <c r="I71">
        <f t="shared" si="5"/>
        <v>2.5834000000031665E-2</v>
      </c>
      <c r="O71">
        <f t="shared" ca="1" si="9"/>
        <v>2.8210948552480831E-2</v>
      </c>
      <c r="Q71" s="2">
        <f t="shared" si="10"/>
        <v>31786.107000000004</v>
      </c>
    </row>
    <row r="72" spans="1:17">
      <c r="A72" s="57" t="s">
        <v>198</v>
      </c>
      <c r="B72" s="58" t="s">
        <v>42</v>
      </c>
      <c r="C72" s="57">
        <v>47681.792000000001</v>
      </c>
      <c r="D72" s="57" t="s">
        <v>64</v>
      </c>
      <c r="E72">
        <f t="shared" si="6"/>
        <v>8424.0073941370683</v>
      </c>
      <c r="F72">
        <f t="shared" si="7"/>
        <v>8424</v>
      </c>
      <c r="G72">
        <f t="shared" si="8"/>
        <v>1.2055999999574851E-2</v>
      </c>
      <c r="I72">
        <f t="shared" si="5"/>
        <v>1.2055999999574851E-2</v>
      </c>
      <c r="O72">
        <f t="shared" ca="1" si="9"/>
        <v>3.1045004401443733E-2</v>
      </c>
      <c r="Q72" s="2">
        <f t="shared" si="10"/>
        <v>32663.292000000001</v>
      </c>
    </row>
    <row r="73" spans="1:17">
      <c r="A73" s="32" t="s">
        <v>28</v>
      </c>
      <c r="B73" s="33"/>
      <c r="C73" s="32">
        <v>49933.5164</v>
      </c>
      <c r="D73" s="32">
        <v>3.3E-3</v>
      </c>
      <c r="E73">
        <f t="shared" si="6"/>
        <v>9805.0258788664196</v>
      </c>
      <c r="F73">
        <f t="shared" si="7"/>
        <v>9805</v>
      </c>
      <c r="G73">
        <f t="shared" si="8"/>
        <v>4.2195000001811422E-2</v>
      </c>
      <c r="J73">
        <f t="shared" ref="J73:J78" si="11">+G73</f>
        <v>4.2195000001811422E-2</v>
      </c>
      <c r="O73">
        <f t="shared" ca="1" si="9"/>
        <v>3.8319783448688652E-2</v>
      </c>
      <c r="Q73" s="2">
        <f t="shared" si="10"/>
        <v>34915.0164</v>
      </c>
    </row>
    <row r="74" spans="1:17">
      <c r="A74" s="32" t="s">
        <v>28</v>
      </c>
      <c r="B74" s="33"/>
      <c r="C74" s="32">
        <v>49951.4493</v>
      </c>
      <c r="D74" s="32">
        <v>1.6999999999999999E-3</v>
      </c>
      <c r="E74">
        <f t="shared" si="6"/>
        <v>9816.0244124279889</v>
      </c>
      <c r="F74">
        <f t="shared" si="7"/>
        <v>9816</v>
      </c>
      <c r="G74">
        <f t="shared" si="8"/>
        <v>3.9804000000003725E-2</v>
      </c>
      <c r="J74">
        <f t="shared" si="11"/>
        <v>3.9804000000003725E-2</v>
      </c>
      <c r="O74">
        <f t="shared" ca="1" si="9"/>
        <v>3.8377728828500157E-2</v>
      </c>
      <c r="Q74" s="2">
        <f t="shared" si="10"/>
        <v>34932.9493</v>
      </c>
    </row>
    <row r="75" spans="1:17">
      <c r="A75" s="32" t="s">
        <v>28</v>
      </c>
      <c r="B75" s="33"/>
      <c r="C75" s="32">
        <v>50000.361599999997</v>
      </c>
      <c r="D75" s="32">
        <v>1.1000000000000001E-3</v>
      </c>
      <c r="E75">
        <f t="shared" si="6"/>
        <v>9846.0231060650167</v>
      </c>
      <c r="F75">
        <f t="shared" si="7"/>
        <v>9846</v>
      </c>
      <c r="G75">
        <f t="shared" si="8"/>
        <v>3.7673999999242369E-2</v>
      </c>
      <c r="J75">
        <f t="shared" si="11"/>
        <v>3.7673999999242369E-2</v>
      </c>
      <c r="O75">
        <f t="shared" ca="1" si="9"/>
        <v>3.8535761682531547E-2</v>
      </c>
      <c r="Q75" s="2">
        <f t="shared" si="10"/>
        <v>34981.861599999997</v>
      </c>
    </row>
    <row r="76" spans="1:17">
      <c r="A76" s="32" t="s">
        <v>28</v>
      </c>
      <c r="B76" s="33"/>
      <c r="C76" s="32">
        <v>50005.253900000003</v>
      </c>
      <c r="D76" s="32">
        <v>1.6000000000000001E-3</v>
      </c>
      <c r="E76">
        <f t="shared" si="6"/>
        <v>9849.0236316767896</v>
      </c>
      <c r="F76">
        <f t="shared" si="7"/>
        <v>9849</v>
      </c>
      <c r="G76">
        <f t="shared" si="8"/>
        <v>3.8531000005605165E-2</v>
      </c>
      <c r="J76">
        <f t="shared" si="11"/>
        <v>3.8531000005605165E-2</v>
      </c>
      <c r="O76">
        <f t="shared" ca="1" si="9"/>
        <v>3.8551564967934687E-2</v>
      </c>
      <c r="Q76" s="2">
        <f t="shared" si="10"/>
        <v>34986.753900000003</v>
      </c>
    </row>
    <row r="77" spans="1:17">
      <c r="A77" s="32" t="s">
        <v>28</v>
      </c>
      <c r="B77" s="34" t="s">
        <v>29</v>
      </c>
      <c r="C77" s="32">
        <v>50022.377399999998</v>
      </c>
      <c r="D77" s="32">
        <v>2.2000000000000001E-3</v>
      </c>
      <c r="E77">
        <f t="shared" si="6"/>
        <v>9859.5257473101483</v>
      </c>
      <c r="F77">
        <f t="shared" si="7"/>
        <v>9859.5</v>
      </c>
      <c r="G77">
        <f t="shared" si="8"/>
        <v>4.19804999983171E-2</v>
      </c>
      <c r="J77">
        <f t="shared" si="11"/>
        <v>4.19804999983171E-2</v>
      </c>
      <c r="O77">
        <f t="shared" ca="1" si="9"/>
        <v>3.8606876466845672E-2</v>
      </c>
      <c r="Q77" s="2">
        <f t="shared" si="10"/>
        <v>35003.877399999998</v>
      </c>
    </row>
    <row r="78" spans="1:17">
      <c r="A78" s="32" t="s">
        <v>28</v>
      </c>
      <c r="B78" s="33"/>
      <c r="C78" s="32">
        <v>50750.386400000003</v>
      </c>
      <c r="D78" s="32">
        <v>8.0000000000000004E-4</v>
      </c>
      <c r="E78">
        <f t="shared" si="6"/>
        <v>10306.025277203476</v>
      </c>
      <c r="F78">
        <f t="shared" si="7"/>
        <v>10306</v>
      </c>
      <c r="G78">
        <f t="shared" si="8"/>
        <v>4.1213999997125939E-2</v>
      </c>
      <c r="J78">
        <f t="shared" si="11"/>
        <v>4.1213999997125939E-2</v>
      </c>
      <c r="O78">
        <f t="shared" ca="1" si="9"/>
        <v>4.0958932111012834E-2</v>
      </c>
      <c r="Q78" s="2">
        <f t="shared" si="10"/>
        <v>35731.886400000003</v>
      </c>
    </row>
    <row r="79" spans="1:17">
      <c r="A79" s="57" t="s">
        <v>198</v>
      </c>
      <c r="B79" s="58" t="s">
        <v>42</v>
      </c>
      <c r="C79" s="57">
        <v>51842.811999999998</v>
      </c>
      <c r="D79" s="57" t="s">
        <v>64</v>
      </c>
      <c r="E79">
        <f t="shared" si="6"/>
        <v>10976.027319545579</v>
      </c>
      <c r="F79">
        <f t="shared" si="7"/>
        <v>10976</v>
      </c>
      <c r="G79">
        <f t="shared" si="8"/>
        <v>4.4543999996676575E-2</v>
      </c>
      <c r="I79">
        <f>+G79</f>
        <v>4.4543999996676575E-2</v>
      </c>
      <c r="O79">
        <f t="shared" ca="1" si="9"/>
        <v>4.4488332517713843E-2</v>
      </c>
      <c r="Q79" s="2">
        <f t="shared" si="10"/>
        <v>36824.311999999998</v>
      </c>
    </row>
    <row r="80" spans="1:17">
      <c r="A80" s="57" t="s">
        <v>198</v>
      </c>
      <c r="B80" s="58" t="s">
        <v>42</v>
      </c>
      <c r="C80" s="57">
        <v>52245.5409</v>
      </c>
      <c r="D80" s="57" t="s">
        <v>64</v>
      </c>
      <c r="E80">
        <f t="shared" si="6"/>
        <v>11223.027376583965</v>
      </c>
      <c r="F80">
        <f t="shared" si="7"/>
        <v>11223</v>
      </c>
      <c r="G80">
        <f t="shared" si="8"/>
        <v>4.463699999905657E-2</v>
      </c>
      <c r="K80">
        <f t="shared" ref="K80:K93" si="12">+G80</f>
        <v>4.463699999905657E-2</v>
      </c>
      <c r="O80">
        <f t="shared" ca="1" si="9"/>
        <v>4.5789469682572276E-2</v>
      </c>
      <c r="Q80" s="2">
        <f t="shared" si="10"/>
        <v>37227.0409</v>
      </c>
    </row>
    <row r="81" spans="1:17">
      <c r="A81" s="57" t="s">
        <v>198</v>
      </c>
      <c r="B81" s="58" t="s">
        <v>42</v>
      </c>
      <c r="C81" s="57">
        <v>52602.619200000001</v>
      </c>
      <c r="D81" s="57" t="s">
        <v>64</v>
      </c>
      <c r="E81">
        <f t="shared" si="6"/>
        <v>11442.029192612486</v>
      </c>
      <c r="F81">
        <f t="shared" si="7"/>
        <v>11442</v>
      </c>
      <c r="G81">
        <f t="shared" si="8"/>
        <v>4.759800000465475E-2</v>
      </c>
      <c r="K81">
        <f t="shared" si="12"/>
        <v>4.759800000465475E-2</v>
      </c>
      <c r="O81">
        <f t="shared" ca="1" si="9"/>
        <v>4.6943109517001411E-2</v>
      </c>
      <c r="Q81" s="2">
        <f t="shared" si="10"/>
        <v>37584.119200000001</v>
      </c>
    </row>
    <row r="82" spans="1:17">
      <c r="A82" s="57" t="s">
        <v>198</v>
      </c>
      <c r="B82" s="58" t="s">
        <v>42</v>
      </c>
      <c r="C82" s="57">
        <v>52620.552600000003</v>
      </c>
      <c r="D82" s="57" t="s">
        <v>64</v>
      </c>
      <c r="E82">
        <f t="shared" si="6"/>
        <v>11453.02803283203</v>
      </c>
      <c r="F82">
        <f t="shared" si="7"/>
        <v>11453</v>
      </c>
      <c r="G82">
        <f t="shared" si="8"/>
        <v>4.5707000004767906E-2</v>
      </c>
      <c r="K82">
        <f t="shared" si="12"/>
        <v>4.5707000004767906E-2</v>
      </c>
      <c r="O82">
        <f t="shared" ca="1" si="9"/>
        <v>4.7001054896812923E-2</v>
      </c>
      <c r="Q82" s="2">
        <f t="shared" si="10"/>
        <v>37602.052600000003</v>
      </c>
    </row>
    <row r="83" spans="1:17">
      <c r="A83" s="57" t="s">
        <v>266</v>
      </c>
      <c r="B83" s="58" t="s">
        <v>42</v>
      </c>
      <c r="C83" s="57">
        <v>53197.744200000001</v>
      </c>
      <c r="D83" s="57" t="s">
        <v>64</v>
      </c>
      <c r="E83">
        <f t="shared" si="6"/>
        <v>11807.028846088977</v>
      </c>
      <c r="F83">
        <f t="shared" si="7"/>
        <v>11807</v>
      </c>
      <c r="G83">
        <f t="shared" si="8"/>
        <v>4.7032999995280989E-2</v>
      </c>
      <c r="K83">
        <f t="shared" si="12"/>
        <v>4.7032999995280989E-2</v>
      </c>
      <c r="O83">
        <f t="shared" ca="1" si="9"/>
        <v>4.8865842574383304E-2</v>
      </c>
      <c r="Q83" s="2">
        <f t="shared" si="10"/>
        <v>38179.244200000001</v>
      </c>
    </row>
    <row r="84" spans="1:17">
      <c r="A84" s="57" t="s">
        <v>266</v>
      </c>
      <c r="B84" s="58" t="s">
        <v>42</v>
      </c>
      <c r="C84" s="57">
        <v>53890.701699999998</v>
      </c>
      <c r="D84" s="57" t="s">
        <v>64</v>
      </c>
      <c r="E84">
        <f t="shared" si="6"/>
        <v>12232.030732035513</v>
      </c>
      <c r="F84">
        <f t="shared" si="7"/>
        <v>12232</v>
      </c>
      <c r="G84">
        <f t="shared" si="8"/>
        <v>5.0107999995816499E-2</v>
      </c>
      <c r="K84">
        <f t="shared" si="12"/>
        <v>5.0107999995816499E-2</v>
      </c>
      <c r="O84">
        <f t="shared" ca="1" si="9"/>
        <v>5.1104641339827971E-2</v>
      </c>
      <c r="Q84" s="2">
        <f t="shared" si="10"/>
        <v>38872.201699999998</v>
      </c>
    </row>
    <row r="85" spans="1:17">
      <c r="A85" s="35" t="s">
        <v>52</v>
      </c>
      <c r="B85" s="36" t="s">
        <v>42</v>
      </c>
      <c r="C85" s="37">
        <v>54001.5746</v>
      </c>
      <c r="D85" s="37">
        <v>2.9999999999999997E-4</v>
      </c>
      <c r="E85">
        <f t="shared" ref="E85:E118" si="13">+(C85-C$7)/C$8</f>
        <v>12300.030849792178</v>
      </c>
      <c r="F85">
        <f t="shared" ref="F85:F116" si="14">ROUND(2*E85,0)/2</f>
        <v>12300</v>
      </c>
      <c r="G85">
        <f t="shared" ref="G85:G116" si="15">+C85-(C$7+F85*C$8)</f>
        <v>5.0299999995331746E-2</v>
      </c>
      <c r="K85">
        <f t="shared" si="12"/>
        <v>5.0299999995331746E-2</v>
      </c>
      <c r="O85">
        <f t="shared" ref="O85:O118" ca="1" si="16">+C$11+C$12*$F85</f>
        <v>5.1462849142299129E-2</v>
      </c>
      <c r="Q85" s="2">
        <f t="shared" ref="Q85:Q118" si="17">+C85-15018.5</f>
        <v>38983.0746</v>
      </c>
    </row>
    <row r="86" spans="1:17">
      <c r="A86" s="57" t="s">
        <v>266</v>
      </c>
      <c r="B86" s="58" t="s">
        <v>42</v>
      </c>
      <c r="C86" s="57">
        <v>54260.822399999997</v>
      </c>
      <c r="D86" s="57" t="s">
        <v>64</v>
      </c>
      <c r="E86">
        <f t="shared" si="13"/>
        <v>12459.031659982542</v>
      </c>
      <c r="F86">
        <f t="shared" si="14"/>
        <v>12459</v>
      </c>
      <c r="G86">
        <f t="shared" si="15"/>
        <v>5.1620999998704065E-2</v>
      </c>
      <c r="K86">
        <f t="shared" si="12"/>
        <v>5.1620999998704065E-2</v>
      </c>
      <c r="O86">
        <f t="shared" ca="1" si="16"/>
        <v>5.2300423268665484E-2</v>
      </c>
      <c r="Q86" s="2">
        <f t="shared" si="17"/>
        <v>39242.322399999997</v>
      </c>
    </row>
    <row r="87" spans="1:17">
      <c r="A87" s="57" t="s">
        <v>266</v>
      </c>
      <c r="B87" s="58" t="s">
        <v>42</v>
      </c>
      <c r="C87" s="57">
        <v>54296.692199999998</v>
      </c>
      <c r="D87" s="57" t="s">
        <v>64</v>
      </c>
      <c r="E87">
        <f t="shared" si="13"/>
        <v>12481.031180369471</v>
      </c>
      <c r="F87">
        <f t="shared" si="14"/>
        <v>12481</v>
      </c>
      <c r="G87">
        <f t="shared" si="15"/>
        <v>5.0838999995903578E-2</v>
      </c>
      <c r="K87">
        <f t="shared" si="12"/>
        <v>5.0838999995903578E-2</v>
      </c>
      <c r="O87">
        <f t="shared" ca="1" si="16"/>
        <v>5.2416314028288495E-2</v>
      </c>
      <c r="Q87" s="2">
        <f t="shared" si="17"/>
        <v>39278.192199999998</v>
      </c>
    </row>
    <row r="88" spans="1:17">
      <c r="A88" s="39" t="s">
        <v>47</v>
      </c>
      <c r="B88" s="40" t="s">
        <v>42</v>
      </c>
      <c r="C88" s="31">
        <v>54596.702599999997</v>
      </c>
      <c r="D88" s="31">
        <v>2.9999999999999997E-4</v>
      </c>
      <c r="E88">
        <f t="shared" si="13"/>
        <v>12665.032343216508</v>
      </c>
      <c r="F88">
        <f t="shared" si="14"/>
        <v>12665</v>
      </c>
      <c r="G88">
        <f t="shared" si="15"/>
        <v>5.2734999997483101E-2</v>
      </c>
      <c r="K88">
        <f t="shared" si="12"/>
        <v>5.2734999997483101E-2</v>
      </c>
      <c r="O88">
        <f t="shared" ca="1" si="16"/>
        <v>5.3385582199681016E-2</v>
      </c>
      <c r="Q88" s="2">
        <f t="shared" si="17"/>
        <v>39578.202599999997</v>
      </c>
    </row>
    <row r="89" spans="1:17">
      <c r="A89" s="39" t="s">
        <v>47</v>
      </c>
      <c r="B89" s="40" t="s">
        <v>42</v>
      </c>
      <c r="C89" s="31">
        <v>54622.790200000003</v>
      </c>
      <c r="D89" s="31">
        <v>4.0000000000000002E-4</v>
      </c>
      <c r="E89">
        <f t="shared" si="13"/>
        <v>12681.032284338182</v>
      </c>
      <c r="F89">
        <f t="shared" si="14"/>
        <v>12681</v>
      </c>
      <c r="G89">
        <f t="shared" si="15"/>
        <v>5.2639000001363456E-2</v>
      </c>
      <c r="K89">
        <f t="shared" si="12"/>
        <v>5.2639000001363456E-2</v>
      </c>
      <c r="O89">
        <f t="shared" ca="1" si="16"/>
        <v>5.346986638849776E-2</v>
      </c>
      <c r="Q89" s="2">
        <f t="shared" si="17"/>
        <v>39604.290200000003</v>
      </c>
    </row>
    <row r="90" spans="1:17">
      <c r="A90" s="41" t="s">
        <v>47</v>
      </c>
      <c r="B90" s="42" t="s">
        <v>42</v>
      </c>
      <c r="C90" s="43">
        <v>54702.683599999997</v>
      </c>
      <c r="D90" s="43">
        <v>2.9999999999999997E-4</v>
      </c>
      <c r="E90">
        <f t="shared" si="13"/>
        <v>12730.032180687782</v>
      </c>
      <c r="F90">
        <f t="shared" si="14"/>
        <v>12730</v>
      </c>
      <c r="G90">
        <f t="shared" si="15"/>
        <v>5.2469999995082617E-2</v>
      </c>
      <c r="K90">
        <f t="shared" si="12"/>
        <v>5.2469999995082617E-2</v>
      </c>
      <c r="O90">
        <f t="shared" ca="1" si="16"/>
        <v>5.372798671674902E-2</v>
      </c>
      <c r="Q90" s="2">
        <f t="shared" si="17"/>
        <v>39684.183599999997</v>
      </c>
    </row>
    <row r="91" spans="1:17">
      <c r="A91" s="41" t="s">
        <v>48</v>
      </c>
      <c r="B91" s="42" t="s">
        <v>42</v>
      </c>
      <c r="C91" s="43">
        <v>54751.597900000001</v>
      </c>
      <c r="D91" s="43">
        <v>2.0000000000000001E-4</v>
      </c>
      <c r="E91">
        <f t="shared" si="13"/>
        <v>12760.032100956711</v>
      </c>
      <c r="F91">
        <f t="shared" si="14"/>
        <v>12760</v>
      </c>
      <c r="G91">
        <f t="shared" si="15"/>
        <v>5.2340000002004672E-2</v>
      </c>
      <c r="K91">
        <f t="shared" si="12"/>
        <v>5.2340000002004672E-2</v>
      </c>
      <c r="O91">
        <f t="shared" ca="1" si="16"/>
        <v>5.3886019570780409E-2</v>
      </c>
      <c r="Q91" s="2">
        <f t="shared" si="17"/>
        <v>39733.097900000001</v>
      </c>
    </row>
    <row r="92" spans="1:17">
      <c r="A92" s="41" t="s">
        <v>49</v>
      </c>
      <c r="B92" s="42" t="s">
        <v>42</v>
      </c>
      <c r="C92" s="43">
        <v>55157.59</v>
      </c>
      <c r="D92" s="43">
        <v>2.9999999999999997E-4</v>
      </c>
      <c r="E92">
        <f t="shared" si="13"/>
        <v>13009.033530596183</v>
      </c>
      <c r="F92">
        <f t="shared" si="14"/>
        <v>13009</v>
      </c>
      <c r="G92">
        <f t="shared" si="15"/>
        <v>5.4670999990776181E-2</v>
      </c>
      <c r="K92">
        <f t="shared" si="12"/>
        <v>5.4670999990776181E-2</v>
      </c>
      <c r="O92">
        <f t="shared" ca="1" si="16"/>
        <v>5.5197692259240934E-2</v>
      </c>
      <c r="Q92" s="2">
        <f t="shared" si="17"/>
        <v>40139.089999999997</v>
      </c>
    </row>
    <row r="93" spans="1:17">
      <c r="A93" s="39" t="s">
        <v>45</v>
      </c>
      <c r="B93" s="40" t="s">
        <v>42</v>
      </c>
      <c r="C93" s="31">
        <v>55346.725599999998</v>
      </c>
      <c r="D93" s="31">
        <v>2.9999999999999997E-4</v>
      </c>
      <c r="E93">
        <f t="shared" si="13"/>
        <v>13125.033410386259</v>
      </c>
      <c r="F93">
        <f t="shared" si="14"/>
        <v>13125</v>
      </c>
      <c r="G93">
        <f t="shared" si="15"/>
        <v>5.4474999997182749E-2</v>
      </c>
      <c r="K93">
        <f t="shared" si="12"/>
        <v>5.4474999997182749E-2</v>
      </c>
      <c r="O93">
        <f t="shared" ca="1" si="16"/>
        <v>5.580875262816231E-2</v>
      </c>
      <c r="Q93" s="2">
        <f t="shared" si="17"/>
        <v>40328.225599999998</v>
      </c>
    </row>
    <row r="94" spans="1:17">
      <c r="A94" s="32" t="s">
        <v>41</v>
      </c>
      <c r="B94" s="34" t="s">
        <v>42</v>
      </c>
      <c r="C94" s="32">
        <v>55669.563499999997</v>
      </c>
      <c r="D94" s="32">
        <v>5.0000000000000001E-4</v>
      </c>
      <c r="E94">
        <f t="shared" si="13"/>
        <v>13323.035043033311</v>
      </c>
      <c r="F94">
        <f t="shared" si="14"/>
        <v>13323</v>
      </c>
      <c r="G94">
        <f t="shared" si="15"/>
        <v>5.7136999996146187E-2</v>
      </c>
      <c r="J94">
        <f>+G94</f>
        <v>5.7136999996146187E-2</v>
      </c>
      <c r="O94">
        <f t="shared" ca="1" si="16"/>
        <v>5.6851769464769476E-2</v>
      </c>
      <c r="Q94" s="2">
        <f t="shared" si="17"/>
        <v>40651.063499999997</v>
      </c>
    </row>
    <row r="95" spans="1:17">
      <c r="A95" s="39" t="s">
        <v>46</v>
      </c>
      <c r="B95" s="40" t="s">
        <v>42</v>
      </c>
      <c r="C95" s="31">
        <v>55747.825599999996</v>
      </c>
      <c r="D95" s="31">
        <v>2.9999999999999997E-4</v>
      </c>
      <c r="E95">
        <f t="shared" si="13"/>
        <v>13371.034437077155</v>
      </c>
      <c r="F95">
        <f t="shared" si="14"/>
        <v>13371</v>
      </c>
      <c r="G95">
        <f t="shared" si="15"/>
        <v>5.6148999996366911E-2</v>
      </c>
      <c r="K95">
        <f>+G95</f>
        <v>5.6148999996366911E-2</v>
      </c>
      <c r="O95">
        <f t="shared" ca="1" si="16"/>
        <v>5.7104622031219694E-2</v>
      </c>
      <c r="Q95" s="2">
        <f t="shared" si="17"/>
        <v>40729.325599999996</v>
      </c>
    </row>
    <row r="96" spans="1:17">
      <c r="A96" s="32" t="s">
        <v>41</v>
      </c>
      <c r="B96" s="34" t="s">
        <v>42</v>
      </c>
      <c r="C96" s="32">
        <v>55775.544699999999</v>
      </c>
      <c r="D96" s="32">
        <v>2.8999999999999998E-3</v>
      </c>
      <c r="E96">
        <f t="shared" si="13"/>
        <v>13388.035003167775</v>
      </c>
      <c r="F96">
        <f t="shared" si="14"/>
        <v>13388</v>
      </c>
      <c r="G96">
        <f t="shared" si="15"/>
        <v>5.7071999995969236E-2</v>
      </c>
      <c r="J96">
        <f>+G96</f>
        <v>5.7071999995969236E-2</v>
      </c>
      <c r="O96">
        <f t="shared" ca="1" si="16"/>
        <v>5.719417398183748E-2</v>
      </c>
      <c r="Q96" s="2">
        <f t="shared" si="17"/>
        <v>40757.044699999999</v>
      </c>
    </row>
    <row r="97" spans="1:17">
      <c r="A97" s="57" t="s">
        <v>321</v>
      </c>
      <c r="B97" s="58" t="s">
        <v>29</v>
      </c>
      <c r="C97" s="57">
        <v>55802.445500000002</v>
      </c>
      <c r="D97" s="57" t="s">
        <v>64</v>
      </c>
      <c r="E97">
        <f t="shared" si="13"/>
        <v>13404.533692818255</v>
      </c>
      <c r="F97">
        <f t="shared" si="14"/>
        <v>13404.5</v>
      </c>
      <c r="G97">
        <f t="shared" si="15"/>
        <v>5.4935499996645376E-2</v>
      </c>
      <c r="K97">
        <f t="shared" ref="K97:K118" si="18">+G97</f>
        <v>5.4935499996645376E-2</v>
      </c>
      <c r="O97">
        <f t="shared" ca="1" si="16"/>
        <v>5.7281092051554745E-2</v>
      </c>
      <c r="Q97" s="2">
        <f t="shared" si="17"/>
        <v>40783.945500000002</v>
      </c>
    </row>
    <row r="98" spans="1:17">
      <c r="A98" s="59" t="s">
        <v>53</v>
      </c>
      <c r="B98" s="60" t="s">
        <v>42</v>
      </c>
      <c r="C98" s="61">
        <v>56153.817199999998</v>
      </c>
      <c r="D98" s="61">
        <v>1E-4</v>
      </c>
      <c r="E98">
        <f t="shared" si="13"/>
        <v>13620.035560058655</v>
      </c>
      <c r="F98">
        <f t="shared" si="14"/>
        <v>13620</v>
      </c>
      <c r="G98">
        <f t="shared" si="15"/>
        <v>5.7979999997769482E-2</v>
      </c>
      <c r="K98">
        <f t="shared" si="18"/>
        <v>5.7979999997769482E-2</v>
      </c>
      <c r="O98">
        <f t="shared" ca="1" si="16"/>
        <v>5.8416294719680219E-2</v>
      </c>
      <c r="Q98" s="2">
        <f t="shared" si="17"/>
        <v>41135.317199999998</v>
      </c>
    </row>
    <row r="99" spans="1:17">
      <c r="A99" s="59" t="s">
        <v>51</v>
      </c>
      <c r="B99" s="60" t="s">
        <v>42</v>
      </c>
      <c r="C99" s="61">
        <v>56220.669199999997</v>
      </c>
      <c r="D99" s="61">
        <v>3.0000000000000003E-4</v>
      </c>
      <c r="E99">
        <f t="shared" si="13"/>
        <v>13661.0369578057</v>
      </c>
      <c r="F99">
        <f t="shared" si="14"/>
        <v>13661</v>
      </c>
      <c r="G99">
        <f t="shared" si="15"/>
        <v>6.0258999998040963E-2</v>
      </c>
      <c r="K99">
        <f t="shared" si="18"/>
        <v>6.0258999998040963E-2</v>
      </c>
      <c r="O99">
        <f t="shared" ca="1" si="16"/>
        <v>5.8632272953523114E-2</v>
      </c>
      <c r="Q99" s="2">
        <f t="shared" si="17"/>
        <v>41202.169199999997</v>
      </c>
    </row>
    <row r="100" spans="1:17">
      <c r="A100" s="59" t="s">
        <v>52</v>
      </c>
      <c r="B100" s="60" t="s">
        <v>42</v>
      </c>
      <c r="C100" s="61">
        <v>56497.849399999999</v>
      </c>
      <c r="D100" s="61">
        <v>2.0000000000000001E-4</v>
      </c>
      <c r="E100">
        <f t="shared" si="13"/>
        <v>13831.035994899663</v>
      </c>
      <c r="F100">
        <f t="shared" si="14"/>
        <v>13831</v>
      </c>
      <c r="G100">
        <f t="shared" si="15"/>
        <v>5.8688999997684732E-2</v>
      </c>
      <c r="K100">
        <f t="shared" si="18"/>
        <v>5.8688999997684732E-2</v>
      </c>
      <c r="O100">
        <f t="shared" ca="1" si="16"/>
        <v>5.9527792459700975E-2</v>
      </c>
      <c r="Q100" s="2">
        <f t="shared" si="17"/>
        <v>41479.349399999999</v>
      </c>
    </row>
    <row r="101" spans="1:17">
      <c r="A101" s="62" t="s">
        <v>338</v>
      </c>
      <c r="B101" s="63" t="s">
        <v>42</v>
      </c>
      <c r="C101" s="64">
        <v>57221.789199999999</v>
      </c>
      <c r="D101" s="64">
        <v>2.9999999999999997E-4</v>
      </c>
      <c r="E101">
        <f t="shared" si="13"/>
        <v>14275.039819537915</v>
      </c>
      <c r="F101">
        <f t="shared" si="14"/>
        <v>14275</v>
      </c>
      <c r="G101">
        <f t="shared" si="15"/>
        <v>6.4924999998765998E-2</v>
      </c>
      <c r="K101">
        <f t="shared" si="18"/>
        <v>6.4924999998765998E-2</v>
      </c>
      <c r="O101">
        <f t="shared" ca="1" si="16"/>
        <v>6.1866678699365525E-2</v>
      </c>
      <c r="Q101" s="2">
        <f t="shared" si="17"/>
        <v>42203.289199999999</v>
      </c>
    </row>
    <row r="102" spans="1:17" ht="12" customHeight="1">
      <c r="A102" s="62" t="s">
        <v>339</v>
      </c>
      <c r="B102" s="63" t="s">
        <v>42</v>
      </c>
      <c r="C102" s="64">
        <v>57588.647499999999</v>
      </c>
      <c r="D102" s="64">
        <v>4.0000000000000002E-4</v>
      </c>
      <c r="E102">
        <f t="shared" si="13"/>
        <v>14500.03986553661</v>
      </c>
      <c r="F102">
        <f t="shared" si="14"/>
        <v>14500</v>
      </c>
      <c r="G102">
        <f t="shared" si="15"/>
        <v>6.4999999995052349E-2</v>
      </c>
      <c r="K102">
        <f t="shared" si="18"/>
        <v>6.4999999995052349E-2</v>
      </c>
      <c r="O102">
        <f t="shared" ca="1" si="16"/>
        <v>6.3051925104600948E-2</v>
      </c>
      <c r="Q102" s="2">
        <f t="shared" si="17"/>
        <v>42570.147499999999</v>
      </c>
    </row>
    <row r="103" spans="1:17" ht="12" customHeight="1">
      <c r="A103" s="62" t="s">
        <v>340</v>
      </c>
      <c r="B103" s="63" t="s">
        <v>42</v>
      </c>
      <c r="C103" s="64">
        <v>57601.6895</v>
      </c>
      <c r="D103" s="64">
        <v>2.0000000000000001E-4</v>
      </c>
      <c r="E103">
        <f t="shared" si="13"/>
        <v>14508.03873212874</v>
      </c>
      <c r="F103">
        <f t="shared" si="14"/>
        <v>14508</v>
      </c>
      <c r="G103">
        <f t="shared" si="15"/>
        <v>6.3151999995170627E-2</v>
      </c>
      <c r="K103">
        <f t="shared" si="18"/>
        <v>6.3151999995170627E-2</v>
      </c>
      <c r="O103">
        <f t="shared" ca="1" si="16"/>
        <v>6.3094067199009313E-2</v>
      </c>
      <c r="Q103" s="2">
        <f t="shared" si="17"/>
        <v>42583.1895</v>
      </c>
    </row>
    <row r="104" spans="1:17" ht="12" customHeight="1">
      <c r="A104" s="62" t="s">
        <v>340</v>
      </c>
      <c r="B104" s="63" t="s">
        <v>42</v>
      </c>
      <c r="C104" s="64">
        <v>57650.603000000003</v>
      </c>
      <c r="D104" s="64">
        <v>2.0000000000000001E-4</v>
      </c>
      <c r="E104">
        <f t="shared" si="13"/>
        <v>14538.038161744909</v>
      </c>
      <c r="F104">
        <f t="shared" si="14"/>
        <v>14538</v>
      </c>
      <c r="G104">
        <f t="shared" si="15"/>
        <v>6.2222000000474509E-2</v>
      </c>
      <c r="K104">
        <f t="shared" si="18"/>
        <v>6.2222000000474509E-2</v>
      </c>
      <c r="O104">
        <f t="shared" ca="1" si="16"/>
        <v>6.3252100053040716E-2</v>
      </c>
      <c r="Q104" s="2">
        <f t="shared" si="17"/>
        <v>42632.103000000003</v>
      </c>
    </row>
    <row r="105" spans="1:17" ht="12" customHeight="1">
      <c r="A105" s="65" t="s">
        <v>0</v>
      </c>
      <c r="B105" s="66" t="s">
        <v>42</v>
      </c>
      <c r="C105" s="67">
        <v>57655.495699999999</v>
      </c>
      <c r="D105" s="67">
        <v>2.0000000000000001E-4</v>
      </c>
      <c r="E105">
        <f t="shared" si="13"/>
        <v>14541.038932683054</v>
      </c>
      <c r="F105">
        <f t="shared" si="14"/>
        <v>14541</v>
      </c>
      <c r="G105">
        <f t="shared" si="15"/>
        <v>6.3478999996732455E-2</v>
      </c>
      <c r="K105">
        <f t="shared" si="18"/>
        <v>6.3478999996732455E-2</v>
      </c>
      <c r="O105">
        <f t="shared" ca="1" si="16"/>
        <v>6.3267903338443843E-2</v>
      </c>
      <c r="Q105" s="2">
        <f t="shared" si="17"/>
        <v>42636.995699999999</v>
      </c>
    </row>
    <row r="106" spans="1:17" ht="12" customHeight="1">
      <c r="A106" s="35" t="s">
        <v>341</v>
      </c>
      <c r="B106" s="36" t="s">
        <v>42</v>
      </c>
      <c r="C106" s="37">
        <v>58307.689599999998</v>
      </c>
      <c r="D106" s="37">
        <v>1E-4</v>
      </c>
      <c r="E106">
        <f t="shared" si="13"/>
        <v>14941.039852656975</v>
      </c>
      <c r="F106">
        <f t="shared" si="14"/>
        <v>14941</v>
      </c>
      <c r="G106">
        <f t="shared" si="15"/>
        <v>6.4978999995219056E-2</v>
      </c>
      <c r="K106">
        <f t="shared" si="18"/>
        <v>6.4978999995219056E-2</v>
      </c>
      <c r="O106">
        <f t="shared" ca="1" si="16"/>
        <v>6.5375008058862344E-2</v>
      </c>
      <c r="Q106" s="2">
        <f t="shared" si="17"/>
        <v>43289.189599999998</v>
      </c>
    </row>
    <row r="107" spans="1:17" ht="12" customHeight="1">
      <c r="A107" s="35" t="s">
        <v>341</v>
      </c>
      <c r="B107" s="36" t="s">
        <v>42</v>
      </c>
      <c r="C107" s="37">
        <v>58356.6037</v>
      </c>
      <c r="D107" s="37">
        <v>1E-4</v>
      </c>
      <c r="E107">
        <f t="shared" si="13"/>
        <v>14971.039650262714</v>
      </c>
      <c r="F107">
        <f t="shared" si="14"/>
        <v>14971</v>
      </c>
      <c r="G107">
        <f t="shared" si="15"/>
        <v>6.4648999999917578E-2</v>
      </c>
      <c r="K107">
        <f t="shared" si="18"/>
        <v>6.4648999999917578E-2</v>
      </c>
      <c r="O107">
        <f t="shared" ca="1" si="16"/>
        <v>6.5533040912893747E-2</v>
      </c>
      <c r="Q107" s="2">
        <f t="shared" si="17"/>
        <v>43338.1037</v>
      </c>
    </row>
    <row r="108" spans="1:17" ht="12" customHeight="1">
      <c r="A108" s="68" t="s">
        <v>342</v>
      </c>
      <c r="B108" s="69" t="s">
        <v>42</v>
      </c>
      <c r="C108" s="70">
        <v>58723.465300000003</v>
      </c>
      <c r="D108" s="70">
        <v>2.0000000000000001E-4</v>
      </c>
      <c r="E108">
        <f t="shared" si="13"/>
        <v>15196.041720204039</v>
      </c>
      <c r="F108">
        <f t="shared" si="14"/>
        <v>15196</v>
      </c>
      <c r="G108">
        <f t="shared" si="15"/>
        <v>6.8024000000150409E-2</v>
      </c>
      <c r="K108">
        <f t="shared" si="18"/>
        <v>6.8024000000150409E-2</v>
      </c>
      <c r="O108">
        <f t="shared" ca="1" si="16"/>
        <v>6.6718287318129149E-2</v>
      </c>
      <c r="Q108" s="2">
        <f t="shared" si="17"/>
        <v>43704.965300000003</v>
      </c>
    </row>
    <row r="109" spans="1:17" ht="12" customHeight="1">
      <c r="A109" s="72" t="s">
        <v>344</v>
      </c>
      <c r="B109" s="73" t="s">
        <v>42</v>
      </c>
      <c r="C109" s="76">
        <v>58723.465300000003</v>
      </c>
      <c r="D109" s="74">
        <v>2.0000000000000001E-4</v>
      </c>
      <c r="E109">
        <f t="shared" si="13"/>
        <v>15196.041720204039</v>
      </c>
      <c r="F109">
        <f t="shared" si="14"/>
        <v>15196</v>
      </c>
      <c r="G109">
        <f t="shared" si="15"/>
        <v>6.8024000000150409E-2</v>
      </c>
      <c r="K109">
        <f t="shared" si="18"/>
        <v>6.8024000000150409E-2</v>
      </c>
      <c r="O109">
        <f t="shared" ca="1" si="16"/>
        <v>6.6718287318129149E-2</v>
      </c>
      <c r="Q109" s="2">
        <f t="shared" si="17"/>
        <v>43704.965300000003</v>
      </c>
    </row>
    <row r="110" spans="1:17" ht="12" customHeight="1">
      <c r="A110" s="68" t="s">
        <v>342</v>
      </c>
      <c r="B110" s="69" t="s">
        <v>42</v>
      </c>
      <c r="C110" s="70">
        <v>58754.443099999997</v>
      </c>
      <c r="D110" s="70">
        <v>1E-4</v>
      </c>
      <c r="E110">
        <f t="shared" si="13"/>
        <v>15215.040898973981</v>
      </c>
      <c r="F110">
        <f t="shared" si="14"/>
        <v>15215</v>
      </c>
      <c r="G110">
        <f t="shared" si="15"/>
        <v>6.6684999990684446E-2</v>
      </c>
      <c r="K110">
        <f t="shared" si="18"/>
        <v>6.6684999990684446E-2</v>
      </c>
      <c r="O110">
        <f t="shared" ca="1" si="16"/>
        <v>6.6818374792349033E-2</v>
      </c>
      <c r="Q110" s="2">
        <f t="shared" si="17"/>
        <v>43735.943099999997</v>
      </c>
    </row>
    <row r="111" spans="1:17" ht="12" customHeight="1">
      <c r="A111" s="72" t="s">
        <v>344</v>
      </c>
      <c r="B111" s="73" t="s">
        <v>42</v>
      </c>
      <c r="C111" s="76">
        <v>58754.443099999997</v>
      </c>
      <c r="D111" s="74">
        <v>1E-4</v>
      </c>
      <c r="E111">
        <f t="shared" si="13"/>
        <v>15215.040898973981</v>
      </c>
      <c r="F111">
        <f t="shared" si="14"/>
        <v>15215</v>
      </c>
      <c r="G111">
        <f t="shared" si="15"/>
        <v>6.6684999990684446E-2</v>
      </c>
      <c r="K111">
        <f t="shared" si="18"/>
        <v>6.6684999990684446E-2</v>
      </c>
      <c r="O111">
        <f t="shared" ca="1" si="16"/>
        <v>6.6818374792349033E-2</v>
      </c>
      <c r="Q111" s="2">
        <f t="shared" si="17"/>
        <v>43735.943099999997</v>
      </c>
    </row>
    <row r="112" spans="1:17" ht="12" customHeight="1">
      <c r="A112" s="71" t="s">
        <v>343</v>
      </c>
      <c r="B112" s="36" t="s">
        <v>42</v>
      </c>
      <c r="C112" s="37">
        <v>59075.649100000002</v>
      </c>
      <c r="D112" s="37">
        <v>2.9999999999999997E-4</v>
      </c>
      <c r="E112">
        <f t="shared" si="13"/>
        <v>15412.041661325708</v>
      </c>
      <c r="F112">
        <f t="shared" si="14"/>
        <v>15412</v>
      </c>
      <c r="G112">
        <f t="shared" si="15"/>
        <v>6.7927999996754806E-2</v>
      </c>
      <c r="K112">
        <f t="shared" si="18"/>
        <v>6.7927999996754806E-2</v>
      </c>
      <c r="O112">
        <f t="shared" ca="1" si="16"/>
        <v>6.7856123867155144E-2</v>
      </c>
      <c r="Q112" s="2">
        <f t="shared" si="17"/>
        <v>44057.149100000002</v>
      </c>
    </row>
    <row r="113" spans="1:17" ht="12" customHeight="1">
      <c r="A113" s="72" t="s">
        <v>345</v>
      </c>
      <c r="B113" s="73" t="s">
        <v>42</v>
      </c>
      <c r="C113" s="76">
        <v>59075.649100000002</v>
      </c>
      <c r="D113" s="74">
        <v>2.9999999999999997E-4</v>
      </c>
      <c r="E113">
        <f t="shared" si="13"/>
        <v>15412.041661325708</v>
      </c>
      <c r="F113">
        <f t="shared" si="14"/>
        <v>15412</v>
      </c>
      <c r="G113">
        <f t="shared" si="15"/>
        <v>6.7927999996754806E-2</v>
      </c>
      <c r="K113">
        <f t="shared" si="18"/>
        <v>6.7927999996754806E-2</v>
      </c>
      <c r="O113">
        <f t="shared" ca="1" si="16"/>
        <v>6.7856123867155144E-2</v>
      </c>
      <c r="Q113" s="2">
        <f t="shared" si="17"/>
        <v>44057.149100000002</v>
      </c>
    </row>
    <row r="114" spans="1:17" ht="12" customHeight="1">
      <c r="A114" s="71" t="s">
        <v>343</v>
      </c>
      <c r="B114" s="36" t="s">
        <v>42</v>
      </c>
      <c r="C114" s="37">
        <v>59155.543400000002</v>
      </c>
      <c r="D114" s="37">
        <v>2.9999999999999997E-4</v>
      </c>
      <c r="E114">
        <f t="shared" si="13"/>
        <v>15461.042109659666</v>
      </c>
      <c r="F114">
        <f t="shared" si="14"/>
        <v>15461</v>
      </c>
      <c r="G114">
        <f t="shared" si="15"/>
        <v>6.8659000004117843E-2</v>
      </c>
      <c r="K114">
        <f t="shared" si="18"/>
        <v>6.8659000004117843E-2</v>
      </c>
      <c r="O114">
        <f t="shared" ca="1" si="16"/>
        <v>6.8114244195406431E-2</v>
      </c>
      <c r="Q114" s="2">
        <f t="shared" si="17"/>
        <v>44137.043400000002</v>
      </c>
    </row>
    <row r="115" spans="1:17" ht="12" customHeight="1">
      <c r="A115" s="72" t="s">
        <v>345</v>
      </c>
      <c r="B115" s="73" t="s">
        <v>42</v>
      </c>
      <c r="C115" s="76">
        <v>59155.543400000002</v>
      </c>
      <c r="D115" s="74">
        <v>2.9999999999999997E-4</v>
      </c>
      <c r="E115">
        <f t="shared" si="13"/>
        <v>15461.042109659666</v>
      </c>
      <c r="F115">
        <f t="shared" si="14"/>
        <v>15461</v>
      </c>
      <c r="G115">
        <f t="shared" si="15"/>
        <v>6.8659000004117843E-2</v>
      </c>
      <c r="K115">
        <f t="shared" si="18"/>
        <v>6.8659000004117843E-2</v>
      </c>
      <c r="O115">
        <f t="shared" ca="1" si="16"/>
        <v>6.8114244195406431E-2</v>
      </c>
      <c r="Q115" s="2">
        <f t="shared" si="17"/>
        <v>44137.043400000002</v>
      </c>
    </row>
    <row r="116" spans="1:17" ht="12" customHeight="1">
      <c r="A116" s="72" t="s">
        <v>346</v>
      </c>
      <c r="B116" s="73" t="s">
        <v>42</v>
      </c>
      <c r="C116" s="76">
        <v>59540.338000000003</v>
      </c>
      <c r="D116" s="74">
        <v>2.0000000000000001E-4</v>
      </c>
      <c r="E116">
        <f t="shared" si="13"/>
        <v>15697.042774494153</v>
      </c>
      <c r="F116">
        <f t="shared" si="14"/>
        <v>15697</v>
      </c>
      <c r="G116">
        <f t="shared" si="15"/>
        <v>6.9743000000016764E-2</v>
      </c>
      <c r="K116">
        <f t="shared" si="18"/>
        <v>6.9743000000016764E-2</v>
      </c>
      <c r="O116">
        <f t="shared" ca="1" si="16"/>
        <v>6.9357435980453352E-2</v>
      </c>
      <c r="Q116" s="2">
        <f t="shared" si="17"/>
        <v>44521.838000000003</v>
      </c>
    </row>
    <row r="117" spans="1:17" ht="12" customHeight="1">
      <c r="A117" s="72" t="s">
        <v>346</v>
      </c>
      <c r="B117" s="73" t="s">
        <v>42</v>
      </c>
      <c r="C117" s="76">
        <v>59548.491399999999</v>
      </c>
      <c r="D117" s="74">
        <v>2.9999999999999997E-4</v>
      </c>
      <c r="E117">
        <f t="shared" si="13"/>
        <v>15702.04338474352</v>
      </c>
      <c r="F117">
        <f t="shared" ref="F117:F148" si="19">ROUND(2*E117,0)/2</f>
        <v>15702</v>
      </c>
      <c r="G117">
        <f t="shared" ref="G117:G148" si="20">+C117-(C$7+F117*C$8)</f>
        <v>7.0737999994889833E-2</v>
      </c>
      <c r="K117">
        <f t="shared" si="18"/>
        <v>7.0737999994889833E-2</v>
      </c>
      <c r="O117">
        <f t="shared" ca="1" si="16"/>
        <v>6.9383774789458563E-2</v>
      </c>
      <c r="Q117" s="2">
        <f t="shared" si="17"/>
        <v>44529.991399999999</v>
      </c>
    </row>
    <row r="118" spans="1:17" ht="12" customHeight="1">
      <c r="A118" s="75" t="s">
        <v>347</v>
      </c>
      <c r="B118" s="73" t="s">
        <v>42</v>
      </c>
      <c r="C118" s="77">
        <v>59789.802600000003</v>
      </c>
      <c r="D118" s="75">
        <v>4.0000000000000002E-4</v>
      </c>
      <c r="E118">
        <f t="shared" si="13"/>
        <v>15850.043392103313</v>
      </c>
      <c r="F118">
        <f t="shared" si="19"/>
        <v>15850</v>
      </c>
      <c r="G118">
        <f t="shared" si="20"/>
        <v>7.075000000622822E-2</v>
      </c>
      <c r="K118">
        <f t="shared" si="18"/>
        <v>7.075000000622822E-2</v>
      </c>
      <c r="O118">
        <f t="shared" ca="1" si="16"/>
        <v>7.0163403536013413E-2</v>
      </c>
      <c r="Q118" s="2">
        <f t="shared" si="17"/>
        <v>44771.302600000003</v>
      </c>
    </row>
    <row r="119" spans="1:17" ht="12" customHeight="1">
      <c r="B119" s="16"/>
      <c r="C119" s="9"/>
      <c r="D119" s="9"/>
    </row>
    <row r="120" spans="1:17" ht="12" customHeight="1">
      <c r="B120" s="16"/>
      <c r="C120" s="9"/>
      <c r="D120" s="9"/>
    </row>
    <row r="121" spans="1:17">
      <c r="B121" s="16"/>
      <c r="C121" s="9"/>
      <c r="D121" s="9"/>
    </row>
    <row r="122" spans="1:17">
      <c r="B122" s="16"/>
      <c r="C122" s="9"/>
      <c r="D122" s="9"/>
    </row>
    <row r="123" spans="1:17">
      <c r="B123" s="16"/>
      <c r="C123" s="9"/>
      <c r="D123" s="9"/>
    </row>
    <row r="124" spans="1:17">
      <c r="B124" s="16"/>
      <c r="C124" s="9"/>
      <c r="D124" s="9"/>
    </row>
    <row r="125" spans="1:17">
      <c r="B125" s="16"/>
      <c r="C125" s="9"/>
      <c r="D125" s="9"/>
    </row>
    <row r="126" spans="1:17">
      <c r="B126" s="16"/>
      <c r="C126" s="9"/>
      <c r="D126" s="9"/>
    </row>
    <row r="127" spans="1:17">
      <c r="B127" s="16"/>
      <c r="C127" s="9"/>
      <c r="D127" s="9"/>
    </row>
    <row r="128" spans="1:17">
      <c r="B128" s="16"/>
      <c r="C128" s="9"/>
      <c r="D128" s="9"/>
    </row>
    <row r="129" spans="2:4">
      <c r="B129" s="16"/>
      <c r="C129" s="9"/>
      <c r="D129" s="9"/>
    </row>
    <row r="130" spans="2:4">
      <c r="B130" s="16"/>
      <c r="C130" s="9"/>
      <c r="D130" s="9"/>
    </row>
    <row r="131" spans="2:4">
      <c r="B131" s="16"/>
      <c r="C131" s="9"/>
      <c r="D131" s="9"/>
    </row>
    <row r="132" spans="2:4">
      <c r="B132" s="16"/>
      <c r="C132" s="9"/>
      <c r="D132" s="9"/>
    </row>
    <row r="133" spans="2:4">
      <c r="B133" s="16"/>
      <c r="C133" s="9"/>
      <c r="D133" s="9"/>
    </row>
    <row r="134" spans="2:4">
      <c r="B134" s="16"/>
      <c r="C134" s="9"/>
      <c r="D134" s="9"/>
    </row>
    <row r="135" spans="2:4">
      <c r="B135" s="16"/>
      <c r="C135" s="9"/>
      <c r="D135" s="9"/>
    </row>
    <row r="136" spans="2:4">
      <c r="B136" s="16"/>
      <c r="C136" s="9"/>
      <c r="D136" s="9"/>
    </row>
    <row r="137" spans="2:4">
      <c r="B137" s="16"/>
      <c r="C137" s="9"/>
      <c r="D137" s="9"/>
    </row>
    <row r="138" spans="2:4">
      <c r="B138" s="16"/>
      <c r="C138" s="9"/>
      <c r="D138" s="9"/>
    </row>
    <row r="139" spans="2:4">
      <c r="B139" s="16"/>
      <c r="C139" s="9"/>
      <c r="D139" s="9"/>
    </row>
    <row r="140" spans="2:4">
      <c r="B140" s="16"/>
      <c r="C140" s="9"/>
      <c r="D140" s="9"/>
    </row>
    <row r="141" spans="2:4">
      <c r="B141" s="16"/>
      <c r="C141" s="9"/>
      <c r="D141" s="9"/>
    </row>
    <row r="142" spans="2:4">
      <c r="B142" s="16"/>
      <c r="C142" s="9"/>
      <c r="D142" s="9"/>
    </row>
    <row r="143" spans="2:4">
      <c r="B143" s="16"/>
      <c r="C143" s="9"/>
      <c r="D143" s="9"/>
    </row>
    <row r="144" spans="2:4">
      <c r="B144" s="16"/>
      <c r="C144" s="9"/>
      <c r="D144" s="9"/>
    </row>
    <row r="145" spans="2:4">
      <c r="B145" s="16"/>
      <c r="C145" s="9"/>
      <c r="D145" s="9"/>
    </row>
    <row r="146" spans="2:4">
      <c r="B146" s="16"/>
      <c r="C146" s="9"/>
      <c r="D146" s="9"/>
    </row>
    <row r="147" spans="2:4">
      <c r="B147" s="16"/>
      <c r="C147" s="9"/>
      <c r="D147" s="9"/>
    </row>
    <row r="148" spans="2:4">
      <c r="B148" s="16"/>
      <c r="C148" s="9"/>
      <c r="D148" s="9"/>
    </row>
    <row r="149" spans="2:4">
      <c r="B149" s="16"/>
      <c r="C149" s="9"/>
      <c r="D149" s="9"/>
    </row>
    <row r="150" spans="2:4">
      <c r="B150" s="16"/>
      <c r="C150" s="9"/>
      <c r="D150" s="9"/>
    </row>
    <row r="151" spans="2:4">
      <c r="B151" s="16"/>
      <c r="C151" s="9"/>
      <c r="D151" s="9"/>
    </row>
    <row r="152" spans="2:4">
      <c r="B152" s="16"/>
      <c r="C152" s="9"/>
      <c r="D152" s="9"/>
    </row>
    <row r="153" spans="2:4">
      <c r="B153" s="16"/>
      <c r="C153" s="9"/>
      <c r="D153" s="9"/>
    </row>
    <row r="154" spans="2:4">
      <c r="B154" s="16"/>
      <c r="C154" s="9"/>
      <c r="D154" s="9"/>
    </row>
    <row r="155" spans="2:4">
      <c r="B155" s="16"/>
      <c r="C155" s="9"/>
      <c r="D155" s="9"/>
    </row>
    <row r="156" spans="2:4">
      <c r="C156" s="9"/>
      <c r="D156" s="9"/>
    </row>
    <row r="157" spans="2:4">
      <c r="C157" s="9"/>
      <c r="D157" s="9"/>
    </row>
    <row r="158" spans="2:4">
      <c r="C158" s="9"/>
      <c r="D158" s="9"/>
    </row>
    <row r="159" spans="2:4">
      <c r="C159" s="9"/>
      <c r="D159" s="9"/>
    </row>
    <row r="160" spans="2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</sheetData>
  <protectedRanges>
    <protectedRange sqref="A106:D109" name="Range1"/>
  </protectedRanges>
  <sortState xmlns:xlrd2="http://schemas.microsoft.com/office/spreadsheetml/2017/richdata2" ref="A21:V118">
    <sortCondition ref="C21:C118"/>
  </sortState>
  <phoneticPr fontId="8" type="noConversion"/>
  <hyperlinks>
    <hyperlink ref="H64719" r:id="rId1" display="http://vsolj.cetus-net.org/bulletin.html" xr:uid="{00000000-0004-0000-0000-000000000000}"/>
    <hyperlink ref="H64712" r:id="rId2" display="https://www.aavso.org/ejaavso" xr:uid="{00000000-0004-0000-0000-000001000000}"/>
    <hyperlink ref="I64719" r:id="rId3" display="http://vsolj.cetus-net.org/bulletin.html" xr:uid="{00000000-0004-0000-0000-000002000000}"/>
    <hyperlink ref="AQ58370" r:id="rId4" display="http://cdsbib.u-strasbg.fr/cgi-bin/cdsbib?1990RMxAA..21..381G" xr:uid="{00000000-0004-0000-0000-000003000000}"/>
    <hyperlink ref="H64716" r:id="rId5" display="https://www.aavso.org/ejaavso" xr:uid="{00000000-0004-0000-0000-000004000000}"/>
    <hyperlink ref="AP5734" r:id="rId6" display="http://cdsbib.u-strasbg.fr/cgi-bin/cdsbib?1990RMxAA..21..381G" xr:uid="{00000000-0004-0000-0000-000005000000}"/>
    <hyperlink ref="AP5737" r:id="rId7" display="http://cdsbib.u-strasbg.fr/cgi-bin/cdsbib?1990RMxAA..21..381G" xr:uid="{00000000-0004-0000-0000-000006000000}"/>
    <hyperlink ref="AP5735" r:id="rId8" display="http://cdsbib.u-strasbg.fr/cgi-bin/cdsbib?1990RMxAA..21..381G" xr:uid="{00000000-0004-0000-0000-000007000000}"/>
    <hyperlink ref="AP5719" r:id="rId9" display="http://cdsbib.u-strasbg.fr/cgi-bin/cdsbib?1990RMxAA..21..381G" xr:uid="{00000000-0004-0000-0000-000008000000}"/>
    <hyperlink ref="AQ5948" r:id="rId10" display="http://cdsbib.u-strasbg.fr/cgi-bin/cdsbib?1990RMxAA..21..381G" xr:uid="{00000000-0004-0000-0000-000009000000}"/>
    <hyperlink ref="AQ5952" r:id="rId11" display="http://cdsbib.u-strasbg.fr/cgi-bin/cdsbib?1990RMxAA..21..381G" xr:uid="{00000000-0004-0000-0000-00000A000000}"/>
    <hyperlink ref="AQ96" r:id="rId12" display="http://cdsbib.u-strasbg.fr/cgi-bin/cdsbib?1990RMxAA..21..381G" xr:uid="{00000000-0004-0000-0000-00000B000000}"/>
    <hyperlink ref="I2840" r:id="rId13" display="http://vsolj.cetus-net.org/bulletin.html" xr:uid="{00000000-0004-0000-0000-00000C000000}"/>
    <hyperlink ref="H2840" r:id="rId14" display="http://vsolj.cetus-net.org/bulletin.html" xr:uid="{00000000-0004-0000-0000-00000D000000}"/>
    <hyperlink ref="AQ757" r:id="rId15" display="http://cdsbib.u-strasbg.fr/cgi-bin/cdsbib?1990RMxAA..21..381G" xr:uid="{00000000-0004-0000-0000-00000E000000}"/>
    <hyperlink ref="AQ756" r:id="rId16" display="http://cdsbib.u-strasbg.fr/cgi-bin/cdsbib?1990RMxAA..21..381G" xr:uid="{00000000-0004-0000-0000-00000F000000}"/>
    <hyperlink ref="AP4010" r:id="rId17" display="http://cdsbib.u-strasbg.fr/cgi-bin/cdsbib?1990RMxAA..21..381G" xr:uid="{00000000-0004-0000-0000-000010000000}"/>
    <hyperlink ref="AP4028" r:id="rId18" display="http://cdsbib.u-strasbg.fr/cgi-bin/cdsbib?1990RMxAA..21..381G" xr:uid="{00000000-0004-0000-0000-000011000000}"/>
    <hyperlink ref="AP4029" r:id="rId19" display="http://cdsbib.u-strasbg.fr/cgi-bin/cdsbib?1990RMxAA..21..381G" xr:uid="{00000000-0004-0000-0000-000012000000}"/>
    <hyperlink ref="AP402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5"/>
  <sheetViews>
    <sheetView topLeftCell="A52" workbookViewId="0">
      <selection activeCell="A29" sqref="A29:D90"/>
    </sheetView>
  </sheetViews>
  <sheetFormatPr defaultRowHeight="12.75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4" t="s">
        <v>54</v>
      </c>
      <c r="I1" s="45" t="s">
        <v>55</v>
      </c>
      <c r="J1" s="46" t="s">
        <v>56</v>
      </c>
    </row>
    <row r="2" spans="1:16">
      <c r="I2" s="47" t="s">
        <v>57</v>
      </c>
      <c r="J2" s="48" t="s">
        <v>58</v>
      </c>
    </row>
    <row r="3" spans="1:16">
      <c r="A3" s="49" t="s">
        <v>59</v>
      </c>
      <c r="I3" s="47" t="s">
        <v>60</v>
      </c>
      <c r="J3" s="48" t="s">
        <v>61</v>
      </c>
    </row>
    <row r="4" spans="1:16">
      <c r="I4" s="47" t="s">
        <v>62</v>
      </c>
      <c r="J4" s="48" t="s">
        <v>61</v>
      </c>
    </row>
    <row r="5" spans="1:16" ht="13.5" thickBot="1">
      <c r="I5" s="50" t="s">
        <v>63</v>
      </c>
      <c r="J5" s="51" t="s">
        <v>64</v>
      </c>
    </row>
    <row r="10" spans="1:16" ht="13.5" thickBot="1"/>
    <row r="11" spans="1:16" ht="12.75" customHeight="1" thickBot="1">
      <c r="A11" s="9" t="str">
        <f t="shared" ref="A11:A42" si="0">P11</f>
        <v>BAVM 132 </v>
      </c>
      <c r="B11" s="16" t="str">
        <f t="shared" ref="B11:B42" si="1">IF(H11=INT(H11),"I","II")</f>
        <v>I</v>
      </c>
      <c r="C11" s="9">
        <f t="shared" ref="C11:C42" si="2">1*G11</f>
        <v>49933.5164</v>
      </c>
      <c r="D11" s="13" t="str">
        <f t="shared" ref="D11:D42" si="3">VLOOKUP(F11,I$1:J$5,2,FALSE)</f>
        <v>vis</v>
      </c>
      <c r="E11" s="52">
        <f>VLOOKUP(C11,Active!C$21:E$971,3,FALSE)</f>
        <v>9805.0258788664196</v>
      </c>
      <c r="F11" s="16" t="s">
        <v>63</v>
      </c>
      <c r="G11" s="13" t="str">
        <f t="shared" ref="G11:G42" si="4">MID(I11,3,LEN(I11)-3)</f>
        <v>49933.5164</v>
      </c>
      <c r="H11" s="9">
        <f t="shared" ref="H11:H42" si="5">1*K11</f>
        <v>9805</v>
      </c>
      <c r="I11" s="53" t="s">
        <v>222</v>
      </c>
      <c r="J11" s="54" t="s">
        <v>223</v>
      </c>
      <c r="K11" s="53">
        <v>9805</v>
      </c>
      <c r="L11" s="53" t="s">
        <v>224</v>
      </c>
      <c r="M11" s="54" t="s">
        <v>225</v>
      </c>
      <c r="N11" s="54" t="s">
        <v>226</v>
      </c>
      <c r="O11" s="55" t="s">
        <v>227</v>
      </c>
      <c r="P11" s="56" t="s">
        <v>228</v>
      </c>
    </row>
    <row r="12" spans="1:16" ht="12.75" customHeight="1" thickBot="1">
      <c r="A12" s="9" t="str">
        <f t="shared" si="0"/>
        <v>BAVM 132 </v>
      </c>
      <c r="B12" s="16" t="str">
        <f t="shared" si="1"/>
        <v>I</v>
      </c>
      <c r="C12" s="9">
        <f t="shared" si="2"/>
        <v>49951.4493</v>
      </c>
      <c r="D12" s="13" t="str">
        <f t="shared" si="3"/>
        <v>vis</v>
      </c>
      <c r="E12" s="52">
        <f>VLOOKUP(C12,Active!C$21:E$971,3,FALSE)</f>
        <v>9816.0244124279889</v>
      </c>
      <c r="F12" s="16" t="s">
        <v>63</v>
      </c>
      <c r="G12" s="13" t="str">
        <f t="shared" si="4"/>
        <v>49951.4493</v>
      </c>
      <c r="H12" s="9">
        <f t="shared" si="5"/>
        <v>9816</v>
      </c>
      <c r="I12" s="53" t="s">
        <v>229</v>
      </c>
      <c r="J12" s="54" t="s">
        <v>230</v>
      </c>
      <c r="K12" s="53">
        <v>9816</v>
      </c>
      <c r="L12" s="53" t="s">
        <v>231</v>
      </c>
      <c r="M12" s="54" t="s">
        <v>225</v>
      </c>
      <c r="N12" s="54" t="s">
        <v>226</v>
      </c>
      <c r="O12" s="55" t="s">
        <v>232</v>
      </c>
      <c r="P12" s="56" t="s">
        <v>228</v>
      </c>
    </row>
    <row r="13" spans="1:16" ht="12.75" customHeight="1" thickBot="1">
      <c r="A13" s="9" t="str">
        <f t="shared" si="0"/>
        <v>BAVM 132 </v>
      </c>
      <c r="B13" s="16" t="str">
        <f t="shared" si="1"/>
        <v>I</v>
      </c>
      <c r="C13" s="9">
        <f t="shared" si="2"/>
        <v>50000.361599999997</v>
      </c>
      <c r="D13" s="13" t="str">
        <f t="shared" si="3"/>
        <v>vis</v>
      </c>
      <c r="E13" s="52">
        <f>VLOOKUP(C13,Active!C$21:E$971,3,FALSE)</f>
        <v>9846.0231060650167</v>
      </c>
      <c r="F13" s="16" t="s">
        <v>63</v>
      </c>
      <c r="G13" s="13" t="str">
        <f t="shared" si="4"/>
        <v>50000.3616</v>
      </c>
      <c r="H13" s="9">
        <f t="shared" si="5"/>
        <v>9846</v>
      </c>
      <c r="I13" s="53" t="s">
        <v>233</v>
      </c>
      <c r="J13" s="54" t="s">
        <v>234</v>
      </c>
      <c r="K13" s="53">
        <v>9846</v>
      </c>
      <c r="L13" s="53" t="s">
        <v>235</v>
      </c>
      <c r="M13" s="54" t="s">
        <v>225</v>
      </c>
      <c r="N13" s="54" t="s">
        <v>226</v>
      </c>
      <c r="O13" s="55" t="s">
        <v>227</v>
      </c>
      <c r="P13" s="56" t="s">
        <v>228</v>
      </c>
    </row>
    <row r="14" spans="1:16" ht="12.75" customHeight="1" thickBot="1">
      <c r="A14" s="9" t="str">
        <f t="shared" si="0"/>
        <v>BAVM 132 </v>
      </c>
      <c r="B14" s="16" t="str">
        <f t="shared" si="1"/>
        <v>I</v>
      </c>
      <c r="C14" s="9">
        <f t="shared" si="2"/>
        <v>50005.253900000003</v>
      </c>
      <c r="D14" s="13" t="str">
        <f t="shared" si="3"/>
        <v>vis</v>
      </c>
      <c r="E14" s="52">
        <f>VLOOKUP(C14,Active!C$21:E$971,3,FALSE)</f>
        <v>9849.0236316767896</v>
      </c>
      <c r="F14" s="16" t="s">
        <v>63</v>
      </c>
      <c r="G14" s="13" t="str">
        <f t="shared" si="4"/>
        <v>50005.2539</v>
      </c>
      <c r="H14" s="9">
        <f t="shared" si="5"/>
        <v>9849</v>
      </c>
      <c r="I14" s="53" t="s">
        <v>236</v>
      </c>
      <c r="J14" s="54" t="s">
        <v>237</v>
      </c>
      <c r="K14" s="53">
        <v>9849</v>
      </c>
      <c r="L14" s="53" t="s">
        <v>238</v>
      </c>
      <c r="M14" s="54" t="s">
        <v>225</v>
      </c>
      <c r="N14" s="54" t="s">
        <v>226</v>
      </c>
      <c r="O14" s="55" t="s">
        <v>227</v>
      </c>
      <c r="P14" s="56" t="s">
        <v>228</v>
      </c>
    </row>
    <row r="15" spans="1:16" ht="12.75" customHeight="1" thickBot="1">
      <c r="A15" s="9" t="str">
        <f t="shared" si="0"/>
        <v>BAVM 132 </v>
      </c>
      <c r="B15" s="16" t="str">
        <f t="shared" si="1"/>
        <v>II</v>
      </c>
      <c r="C15" s="9">
        <f t="shared" si="2"/>
        <v>50022.377399999998</v>
      </c>
      <c r="D15" s="13" t="str">
        <f t="shared" si="3"/>
        <v>vis</v>
      </c>
      <c r="E15" s="52">
        <f>VLOOKUP(C15,Active!C$21:E$971,3,FALSE)</f>
        <v>9859.5257473101483</v>
      </c>
      <c r="F15" s="16" t="s">
        <v>63</v>
      </c>
      <c r="G15" s="13" t="str">
        <f t="shared" si="4"/>
        <v>50022.3774</v>
      </c>
      <c r="H15" s="9">
        <f t="shared" si="5"/>
        <v>9859.5</v>
      </c>
      <c r="I15" s="53" t="s">
        <v>239</v>
      </c>
      <c r="J15" s="54" t="s">
        <v>240</v>
      </c>
      <c r="K15" s="53">
        <v>9859.5</v>
      </c>
      <c r="L15" s="53" t="s">
        <v>241</v>
      </c>
      <c r="M15" s="54" t="s">
        <v>225</v>
      </c>
      <c r="N15" s="54" t="s">
        <v>226</v>
      </c>
      <c r="O15" s="55" t="s">
        <v>227</v>
      </c>
      <c r="P15" s="56" t="s">
        <v>228</v>
      </c>
    </row>
    <row r="16" spans="1:16" ht="12.75" customHeight="1" thickBot="1">
      <c r="A16" s="9" t="str">
        <f t="shared" si="0"/>
        <v>BAVM 132 </v>
      </c>
      <c r="B16" s="16" t="str">
        <f t="shared" si="1"/>
        <v>I</v>
      </c>
      <c r="C16" s="9">
        <f t="shared" si="2"/>
        <v>50750.386400000003</v>
      </c>
      <c r="D16" s="13" t="str">
        <f t="shared" si="3"/>
        <v>vis</v>
      </c>
      <c r="E16" s="52">
        <f>VLOOKUP(C16,Active!C$21:E$971,3,FALSE)</f>
        <v>10306.025277203476</v>
      </c>
      <c r="F16" s="16" t="s">
        <v>63</v>
      </c>
      <c r="G16" s="13" t="str">
        <f t="shared" si="4"/>
        <v>50750.3864</v>
      </c>
      <c r="H16" s="9">
        <f t="shared" si="5"/>
        <v>10306</v>
      </c>
      <c r="I16" s="53" t="s">
        <v>242</v>
      </c>
      <c r="J16" s="54" t="s">
        <v>243</v>
      </c>
      <c r="K16" s="53">
        <v>10306</v>
      </c>
      <c r="L16" s="53" t="s">
        <v>244</v>
      </c>
      <c r="M16" s="54" t="s">
        <v>225</v>
      </c>
      <c r="N16" s="54" t="s">
        <v>226</v>
      </c>
      <c r="O16" s="55" t="s">
        <v>227</v>
      </c>
      <c r="P16" s="56" t="s">
        <v>228</v>
      </c>
    </row>
    <row r="17" spans="1:16" ht="12.75" customHeight="1" thickBot="1">
      <c r="A17" s="9" t="str">
        <f t="shared" si="0"/>
        <v> JAAVSO 41;328 </v>
      </c>
      <c r="B17" s="16" t="str">
        <f t="shared" si="1"/>
        <v>I</v>
      </c>
      <c r="C17" s="9">
        <f t="shared" si="2"/>
        <v>54001.5746</v>
      </c>
      <c r="D17" s="13" t="str">
        <f t="shared" si="3"/>
        <v>vis</v>
      </c>
      <c r="E17" s="52">
        <f>VLOOKUP(C17,Active!C$21:E$971,3,FALSE)</f>
        <v>12300.030849792178</v>
      </c>
      <c r="F17" s="16" t="s">
        <v>63</v>
      </c>
      <c r="G17" s="13" t="str">
        <f t="shared" si="4"/>
        <v>54001.5746</v>
      </c>
      <c r="H17" s="9">
        <f t="shared" si="5"/>
        <v>12300</v>
      </c>
      <c r="I17" s="53" t="s">
        <v>270</v>
      </c>
      <c r="J17" s="54" t="s">
        <v>271</v>
      </c>
      <c r="K17" s="53">
        <v>12300</v>
      </c>
      <c r="L17" s="53" t="s">
        <v>272</v>
      </c>
      <c r="M17" s="54" t="s">
        <v>252</v>
      </c>
      <c r="N17" s="54" t="s">
        <v>273</v>
      </c>
      <c r="O17" s="55" t="s">
        <v>261</v>
      </c>
      <c r="P17" s="55" t="s">
        <v>274</v>
      </c>
    </row>
    <row r="18" spans="1:16" ht="12.75" customHeight="1" thickBot="1">
      <c r="A18" s="9" t="str">
        <f t="shared" si="0"/>
        <v>JAAVSO 36(2);186 </v>
      </c>
      <c r="B18" s="16" t="str">
        <f t="shared" si="1"/>
        <v>I</v>
      </c>
      <c r="C18" s="9">
        <f t="shared" si="2"/>
        <v>54596.702599999997</v>
      </c>
      <c r="D18" s="13" t="str">
        <f t="shared" si="3"/>
        <v>vis</v>
      </c>
      <c r="E18" s="52">
        <f>VLOOKUP(C18,Active!C$21:E$971,3,FALSE)</f>
        <v>12665.032343216508</v>
      </c>
      <c r="F18" s="16" t="s">
        <v>63</v>
      </c>
      <c r="G18" s="13" t="str">
        <f t="shared" si="4"/>
        <v>54596.7026</v>
      </c>
      <c r="H18" s="9">
        <f t="shared" si="5"/>
        <v>12665</v>
      </c>
      <c r="I18" s="53" t="s">
        <v>281</v>
      </c>
      <c r="J18" s="54" t="s">
        <v>282</v>
      </c>
      <c r="K18" s="53">
        <v>12665</v>
      </c>
      <c r="L18" s="53" t="s">
        <v>283</v>
      </c>
      <c r="M18" s="54" t="s">
        <v>252</v>
      </c>
      <c r="N18" s="54" t="s">
        <v>226</v>
      </c>
      <c r="O18" s="55" t="s">
        <v>204</v>
      </c>
      <c r="P18" s="56" t="s">
        <v>284</v>
      </c>
    </row>
    <row r="19" spans="1:16" ht="12.75" customHeight="1" thickBot="1">
      <c r="A19" s="9" t="str">
        <f t="shared" si="0"/>
        <v>JAAVSO 36(2);186 </v>
      </c>
      <c r="B19" s="16" t="str">
        <f t="shared" si="1"/>
        <v>I</v>
      </c>
      <c r="C19" s="9">
        <f t="shared" si="2"/>
        <v>54622.790200000003</v>
      </c>
      <c r="D19" s="13" t="str">
        <f t="shared" si="3"/>
        <v>CCD</v>
      </c>
      <c r="E19" s="52">
        <f>VLOOKUP(C19,Active!C$21:E$971,3,FALSE)</f>
        <v>12681.032284338182</v>
      </c>
      <c r="F19" s="16" t="str">
        <f>LEFT(M19,1)</f>
        <v>C</v>
      </c>
      <c r="G19" s="13" t="str">
        <f t="shared" si="4"/>
        <v>54622.7902</v>
      </c>
      <c r="H19" s="9">
        <f t="shared" si="5"/>
        <v>12681</v>
      </c>
      <c r="I19" s="53" t="s">
        <v>285</v>
      </c>
      <c r="J19" s="54" t="s">
        <v>286</v>
      </c>
      <c r="K19" s="53">
        <v>12681</v>
      </c>
      <c r="L19" s="53" t="s">
        <v>287</v>
      </c>
      <c r="M19" s="54" t="s">
        <v>252</v>
      </c>
      <c r="N19" s="54" t="s">
        <v>226</v>
      </c>
      <c r="O19" s="55" t="s">
        <v>288</v>
      </c>
      <c r="P19" s="56" t="s">
        <v>284</v>
      </c>
    </row>
    <row r="20" spans="1:16" ht="12.75" customHeight="1" thickBot="1">
      <c r="A20" s="9" t="str">
        <f t="shared" si="0"/>
        <v>JAAVSO 36(2);186 </v>
      </c>
      <c r="B20" s="16" t="str">
        <f t="shared" si="1"/>
        <v>I</v>
      </c>
      <c r="C20" s="9">
        <f t="shared" si="2"/>
        <v>54702.683599999997</v>
      </c>
      <c r="D20" s="13" t="str">
        <f t="shared" si="3"/>
        <v>CCD</v>
      </c>
      <c r="E20" s="52">
        <f>VLOOKUP(C20,Active!C$21:E$971,3,FALSE)</f>
        <v>12730.032180687782</v>
      </c>
      <c r="F20" s="16" t="str">
        <f>LEFT(M20,1)</f>
        <v>C</v>
      </c>
      <c r="G20" s="13" t="str">
        <f t="shared" si="4"/>
        <v>54702.6836</v>
      </c>
      <c r="H20" s="9">
        <f t="shared" si="5"/>
        <v>12730</v>
      </c>
      <c r="I20" s="53" t="s">
        <v>289</v>
      </c>
      <c r="J20" s="54" t="s">
        <v>290</v>
      </c>
      <c r="K20" s="53">
        <v>12730</v>
      </c>
      <c r="L20" s="53" t="s">
        <v>291</v>
      </c>
      <c r="M20" s="54" t="s">
        <v>252</v>
      </c>
      <c r="N20" s="54" t="s">
        <v>226</v>
      </c>
      <c r="O20" s="55" t="s">
        <v>204</v>
      </c>
      <c r="P20" s="56" t="s">
        <v>284</v>
      </c>
    </row>
    <row r="21" spans="1:16" ht="12.75" customHeight="1" thickBot="1">
      <c r="A21" s="9" t="str">
        <f t="shared" si="0"/>
        <v>JAAVSO 37(1),44 </v>
      </c>
      <c r="B21" s="16" t="str">
        <f t="shared" si="1"/>
        <v>I</v>
      </c>
      <c r="C21" s="9">
        <f t="shared" si="2"/>
        <v>54751.597900000001</v>
      </c>
      <c r="D21" s="13" t="str">
        <f t="shared" si="3"/>
        <v>CCD</v>
      </c>
      <c r="E21" s="52">
        <f>VLOOKUP(C21,Active!C$21:E$971,3,FALSE)</f>
        <v>12760.032100956711</v>
      </c>
      <c r="F21" s="16" t="str">
        <f>LEFT(M21,1)</f>
        <v>C</v>
      </c>
      <c r="G21" s="13" t="str">
        <f t="shared" si="4"/>
        <v>54751.5979</v>
      </c>
      <c r="H21" s="9">
        <f t="shared" si="5"/>
        <v>12760</v>
      </c>
      <c r="I21" s="53" t="s">
        <v>292</v>
      </c>
      <c r="J21" s="54" t="s">
        <v>293</v>
      </c>
      <c r="K21" s="53">
        <v>12760</v>
      </c>
      <c r="L21" s="53" t="s">
        <v>294</v>
      </c>
      <c r="M21" s="54" t="s">
        <v>252</v>
      </c>
      <c r="N21" s="54" t="s">
        <v>253</v>
      </c>
      <c r="O21" s="55" t="s">
        <v>204</v>
      </c>
      <c r="P21" s="56" t="s">
        <v>295</v>
      </c>
    </row>
    <row r="22" spans="1:16" ht="12.75" customHeight="1" thickBot="1">
      <c r="A22" s="9" t="str">
        <f t="shared" si="0"/>
        <v> JAAVSO 38;120 </v>
      </c>
      <c r="B22" s="16" t="str">
        <f t="shared" si="1"/>
        <v>I</v>
      </c>
      <c r="C22" s="9">
        <f t="shared" si="2"/>
        <v>55157.59</v>
      </c>
      <c r="D22" s="13" t="str">
        <f t="shared" si="3"/>
        <v>CCD</v>
      </c>
      <c r="E22" s="52">
        <f>VLOOKUP(C22,Active!C$21:E$971,3,FALSE)</f>
        <v>13009.033530596183</v>
      </c>
      <c r="F22" s="16" t="str">
        <f>LEFT(M22,1)</f>
        <v>C</v>
      </c>
      <c r="G22" s="13" t="str">
        <f t="shared" si="4"/>
        <v>55157.5900</v>
      </c>
      <c r="H22" s="9">
        <f t="shared" si="5"/>
        <v>13009</v>
      </c>
      <c r="I22" s="53" t="s">
        <v>296</v>
      </c>
      <c r="J22" s="54" t="s">
        <v>297</v>
      </c>
      <c r="K22" s="53">
        <v>13009</v>
      </c>
      <c r="L22" s="53" t="s">
        <v>298</v>
      </c>
      <c r="M22" s="54" t="s">
        <v>252</v>
      </c>
      <c r="N22" s="54" t="s">
        <v>253</v>
      </c>
      <c r="O22" s="55" t="s">
        <v>204</v>
      </c>
      <c r="P22" s="55" t="s">
        <v>299</v>
      </c>
    </row>
    <row r="23" spans="1:16" ht="12.75" customHeight="1" thickBot="1">
      <c r="A23" s="9" t="str">
        <f t="shared" si="0"/>
        <v> JAAVSO 39;94 </v>
      </c>
      <c r="B23" s="16" t="str">
        <f t="shared" si="1"/>
        <v>I</v>
      </c>
      <c r="C23" s="9">
        <f t="shared" si="2"/>
        <v>55346.725599999998</v>
      </c>
      <c r="D23" s="13" t="str">
        <f t="shared" si="3"/>
        <v>CCD</v>
      </c>
      <c r="E23" s="52">
        <f>VLOOKUP(C23,Active!C$21:E$971,3,FALSE)</f>
        <v>13125.033410386259</v>
      </c>
      <c r="F23" s="16" t="str">
        <f>LEFT(M23,1)</f>
        <v>C</v>
      </c>
      <c r="G23" s="13" t="str">
        <f t="shared" si="4"/>
        <v>55346.7256</v>
      </c>
      <c r="H23" s="9">
        <f t="shared" si="5"/>
        <v>13125</v>
      </c>
      <c r="I23" s="53" t="s">
        <v>300</v>
      </c>
      <c r="J23" s="54" t="s">
        <v>301</v>
      </c>
      <c r="K23" s="53">
        <v>13125</v>
      </c>
      <c r="L23" s="53" t="s">
        <v>302</v>
      </c>
      <c r="M23" s="54" t="s">
        <v>252</v>
      </c>
      <c r="N23" s="54" t="s">
        <v>253</v>
      </c>
      <c r="O23" s="55" t="s">
        <v>204</v>
      </c>
      <c r="P23" s="55" t="s">
        <v>303</v>
      </c>
    </row>
    <row r="24" spans="1:16" ht="12.75" customHeight="1" thickBot="1">
      <c r="A24" s="9" t="str">
        <f t="shared" si="0"/>
        <v>BAVM 220 </v>
      </c>
      <c r="B24" s="16" t="str">
        <f t="shared" si="1"/>
        <v>I</v>
      </c>
      <c r="C24" s="9">
        <f t="shared" si="2"/>
        <v>55669.563499999997</v>
      </c>
      <c r="D24" s="13" t="str">
        <f t="shared" si="3"/>
        <v>vis</v>
      </c>
      <c r="E24" s="52">
        <f>VLOOKUP(C24,Active!C$21:E$971,3,FALSE)</f>
        <v>13323.035043033311</v>
      </c>
      <c r="F24" s="16" t="s">
        <v>63</v>
      </c>
      <c r="G24" s="13" t="str">
        <f t="shared" si="4"/>
        <v>55669.5635</v>
      </c>
      <c r="H24" s="9">
        <f t="shared" si="5"/>
        <v>13323</v>
      </c>
      <c r="I24" s="53" t="s">
        <v>304</v>
      </c>
      <c r="J24" s="54" t="s">
        <v>305</v>
      </c>
      <c r="K24" s="53">
        <v>13323</v>
      </c>
      <c r="L24" s="53" t="s">
        <v>306</v>
      </c>
      <c r="M24" s="54" t="s">
        <v>252</v>
      </c>
      <c r="N24" s="54" t="s">
        <v>226</v>
      </c>
      <c r="O24" s="55" t="s">
        <v>307</v>
      </c>
      <c r="P24" s="56" t="s">
        <v>308</v>
      </c>
    </row>
    <row r="25" spans="1:16" ht="12.75" customHeight="1" thickBot="1">
      <c r="A25" s="9" t="str">
        <f t="shared" si="0"/>
        <v> JAAVSO 40;975 </v>
      </c>
      <c r="B25" s="16" t="str">
        <f t="shared" si="1"/>
        <v>I</v>
      </c>
      <c r="C25" s="9">
        <f t="shared" si="2"/>
        <v>55747.825599999996</v>
      </c>
      <c r="D25" s="13" t="str">
        <f t="shared" si="3"/>
        <v>vis</v>
      </c>
      <c r="E25" s="52">
        <f>VLOOKUP(C25,Active!C$21:E$971,3,FALSE)</f>
        <v>13371.034437077155</v>
      </c>
      <c r="F25" s="16" t="s">
        <v>63</v>
      </c>
      <c r="G25" s="13" t="str">
        <f t="shared" si="4"/>
        <v>55747.8256</v>
      </c>
      <c r="H25" s="9">
        <f t="shared" si="5"/>
        <v>13371</v>
      </c>
      <c r="I25" s="53" t="s">
        <v>309</v>
      </c>
      <c r="J25" s="54" t="s">
        <v>310</v>
      </c>
      <c r="K25" s="53">
        <v>13371</v>
      </c>
      <c r="L25" s="53" t="s">
        <v>311</v>
      </c>
      <c r="M25" s="54" t="s">
        <v>252</v>
      </c>
      <c r="N25" s="54" t="s">
        <v>63</v>
      </c>
      <c r="O25" s="55" t="s">
        <v>204</v>
      </c>
      <c r="P25" s="55" t="s">
        <v>312</v>
      </c>
    </row>
    <row r="26" spans="1:16" ht="12.75" customHeight="1" thickBot="1">
      <c r="A26" s="9" t="str">
        <f t="shared" si="0"/>
        <v>BAVM 220 </v>
      </c>
      <c r="B26" s="16" t="str">
        <f t="shared" si="1"/>
        <v>I</v>
      </c>
      <c r="C26" s="9">
        <f t="shared" si="2"/>
        <v>55775.544699999999</v>
      </c>
      <c r="D26" s="13" t="str">
        <f t="shared" si="3"/>
        <v>vis</v>
      </c>
      <c r="E26" s="52">
        <f>VLOOKUP(C26,Active!C$21:E$971,3,FALSE)</f>
        <v>13388.035003167775</v>
      </c>
      <c r="F26" s="16" t="s">
        <v>63</v>
      </c>
      <c r="G26" s="13" t="str">
        <f t="shared" si="4"/>
        <v>55775.5447</v>
      </c>
      <c r="H26" s="9">
        <f t="shared" si="5"/>
        <v>13388</v>
      </c>
      <c r="I26" s="53" t="s">
        <v>313</v>
      </c>
      <c r="J26" s="54" t="s">
        <v>314</v>
      </c>
      <c r="K26" s="53">
        <v>13388</v>
      </c>
      <c r="L26" s="53" t="s">
        <v>306</v>
      </c>
      <c r="M26" s="54" t="s">
        <v>252</v>
      </c>
      <c r="N26" s="54" t="s">
        <v>315</v>
      </c>
      <c r="O26" s="55" t="s">
        <v>316</v>
      </c>
      <c r="P26" s="56" t="s">
        <v>308</v>
      </c>
    </row>
    <row r="27" spans="1:16" ht="12.75" customHeight="1" thickBot="1">
      <c r="A27" s="9" t="str">
        <f t="shared" si="0"/>
        <v>IBVS 6042 </v>
      </c>
      <c r="B27" s="16" t="str">
        <f t="shared" si="1"/>
        <v>I</v>
      </c>
      <c r="C27" s="9">
        <f t="shared" si="2"/>
        <v>56220.669199999997</v>
      </c>
      <c r="D27" s="13" t="str">
        <f t="shared" si="3"/>
        <v>vis</v>
      </c>
      <c r="E27" s="52">
        <f>VLOOKUP(C27,Active!C$21:E$971,3,FALSE)</f>
        <v>13661.0369578057</v>
      </c>
      <c r="F27" s="16" t="s">
        <v>63</v>
      </c>
      <c r="G27" s="13" t="str">
        <f t="shared" si="4"/>
        <v>56220.6692</v>
      </c>
      <c r="H27" s="9">
        <f t="shared" si="5"/>
        <v>13661</v>
      </c>
      <c r="I27" s="53" t="s">
        <v>328</v>
      </c>
      <c r="J27" s="54" t="s">
        <v>329</v>
      </c>
      <c r="K27" s="53" t="s">
        <v>330</v>
      </c>
      <c r="L27" s="53" t="s">
        <v>331</v>
      </c>
      <c r="M27" s="54" t="s">
        <v>252</v>
      </c>
      <c r="N27" s="54" t="s">
        <v>63</v>
      </c>
      <c r="O27" s="55" t="s">
        <v>332</v>
      </c>
      <c r="P27" s="56" t="s">
        <v>333</v>
      </c>
    </row>
    <row r="28" spans="1:16" ht="12.75" customHeight="1" thickBot="1">
      <c r="A28" s="9" t="str">
        <f t="shared" si="0"/>
        <v> JAAVSO 41;328 </v>
      </c>
      <c r="B28" s="16" t="str">
        <f t="shared" si="1"/>
        <v>I</v>
      </c>
      <c r="C28" s="9">
        <f t="shared" si="2"/>
        <v>56497.849399999999</v>
      </c>
      <c r="D28" s="13" t="str">
        <f t="shared" si="3"/>
        <v>vis</v>
      </c>
      <c r="E28" s="52">
        <f>VLOOKUP(C28,Active!C$21:E$971,3,FALSE)</f>
        <v>13831.035994899663</v>
      </c>
      <c r="F28" s="16" t="s">
        <v>63</v>
      </c>
      <c r="G28" s="13" t="str">
        <f t="shared" si="4"/>
        <v>56497.8494</v>
      </c>
      <c r="H28" s="9">
        <f t="shared" si="5"/>
        <v>13831</v>
      </c>
      <c r="I28" s="53" t="s">
        <v>334</v>
      </c>
      <c r="J28" s="54" t="s">
        <v>335</v>
      </c>
      <c r="K28" s="53" t="s">
        <v>336</v>
      </c>
      <c r="L28" s="53" t="s">
        <v>337</v>
      </c>
      <c r="M28" s="54" t="s">
        <v>252</v>
      </c>
      <c r="N28" s="54" t="s">
        <v>63</v>
      </c>
      <c r="O28" s="55" t="s">
        <v>204</v>
      </c>
      <c r="P28" s="55" t="s">
        <v>274</v>
      </c>
    </row>
    <row r="29" spans="1:16" ht="12.75" customHeight="1" thickBot="1">
      <c r="A29" s="9" t="str">
        <f t="shared" si="0"/>
        <v> AN 256.283 </v>
      </c>
      <c r="B29" s="16" t="str">
        <f t="shared" si="1"/>
        <v>II</v>
      </c>
      <c r="C29" s="9">
        <f t="shared" si="2"/>
        <v>26332.246999999999</v>
      </c>
      <c r="D29" s="13" t="str">
        <f t="shared" si="3"/>
        <v>vis</v>
      </c>
      <c r="E29" s="52">
        <f>VLOOKUP(C29,Active!C$21:E$971,3,FALSE)</f>
        <v>-4670.0090341439127</v>
      </c>
      <c r="F29" s="16" t="s">
        <v>63</v>
      </c>
      <c r="G29" s="13" t="str">
        <f t="shared" si="4"/>
        <v>26332.247</v>
      </c>
      <c r="H29" s="9">
        <f t="shared" si="5"/>
        <v>-4670.5</v>
      </c>
      <c r="I29" s="53" t="s">
        <v>67</v>
      </c>
      <c r="J29" s="54" t="s">
        <v>68</v>
      </c>
      <c r="K29" s="53">
        <v>-4670.5</v>
      </c>
      <c r="L29" s="53" t="s">
        <v>69</v>
      </c>
      <c r="M29" s="54" t="s">
        <v>70</v>
      </c>
      <c r="N29" s="54"/>
      <c r="O29" s="55" t="s">
        <v>71</v>
      </c>
      <c r="P29" s="55" t="s">
        <v>72</v>
      </c>
    </row>
    <row r="30" spans="1:16" ht="12.75" customHeight="1" thickBot="1">
      <c r="A30" s="9" t="str">
        <f t="shared" si="0"/>
        <v> AN 256.283 </v>
      </c>
      <c r="B30" s="16" t="str">
        <f t="shared" si="1"/>
        <v>II</v>
      </c>
      <c r="C30" s="9">
        <f t="shared" si="2"/>
        <v>26350.222000000002</v>
      </c>
      <c r="D30" s="13" t="str">
        <f t="shared" si="3"/>
        <v>vis</v>
      </c>
      <c r="E30" s="52">
        <f>VLOOKUP(C30,Active!C$21:E$971,3,FALSE)</f>
        <v>-4658.9846799809375</v>
      </c>
      <c r="F30" s="16" t="s">
        <v>63</v>
      </c>
      <c r="G30" s="13" t="str">
        <f t="shared" si="4"/>
        <v>26350.222</v>
      </c>
      <c r="H30" s="9">
        <f t="shared" si="5"/>
        <v>-4659.5</v>
      </c>
      <c r="I30" s="53" t="s">
        <v>73</v>
      </c>
      <c r="J30" s="54" t="s">
        <v>74</v>
      </c>
      <c r="K30" s="53">
        <v>-4659.5</v>
      </c>
      <c r="L30" s="53" t="s">
        <v>75</v>
      </c>
      <c r="M30" s="54" t="s">
        <v>70</v>
      </c>
      <c r="N30" s="54"/>
      <c r="O30" s="55" t="s">
        <v>71</v>
      </c>
      <c r="P30" s="55" t="s">
        <v>72</v>
      </c>
    </row>
    <row r="31" spans="1:16" ht="12.75" customHeight="1" thickBot="1">
      <c r="A31" s="9" t="str">
        <f t="shared" si="0"/>
        <v> AN 256.283 </v>
      </c>
      <c r="B31" s="16" t="str">
        <f t="shared" si="1"/>
        <v>II</v>
      </c>
      <c r="C31" s="9">
        <f t="shared" si="2"/>
        <v>26627.427</v>
      </c>
      <c r="D31" s="13" t="str">
        <f t="shared" si="3"/>
        <v>vis</v>
      </c>
      <c r="E31" s="52">
        <f>VLOOKUP(C31,Active!C$21:E$971,3,FALSE)</f>
        <v>-4488.9704326514693</v>
      </c>
      <c r="F31" s="16" t="s">
        <v>63</v>
      </c>
      <c r="G31" s="13" t="str">
        <f t="shared" si="4"/>
        <v>26627.427</v>
      </c>
      <c r="H31" s="9">
        <f t="shared" si="5"/>
        <v>-4489.5</v>
      </c>
      <c r="I31" s="53" t="s">
        <v>76</v>
      </c>
      <c r="J31" s="54" t="s">
        <v>77</v>
      </c>
      <c r="K31" s="53">
        <v>-4489.5</v>
      </c>
      <c r="L31" s="53" t="s">
        <v>78</v>
      </c>
      <c r="M31" s="54" t="s">
        <v>70</v>
      </c>
      <c r="N31" s="54"/>
      <c r="O31" s="55" t="s">
        <v>71</v>
      </c>
      <c r="P31" s="55" t="s">
        <v>72</v>
      </c>
    </row>
    <row r="32" spans="1:16" ht="12.75" customHeight="1" thickBot="1">
      <c r="A32" s="9" t="str">
        <f t="shared" si="0"/>
        <v> PTAO 34.212 </v>
      </c>
      <c r="B32" s="16" t="str">
        <f t="shared" si="1"/>
        <v>II</v>
      </c>
      <c r="C32" s="9">
        <f t="shared" si="2"/>
        <v>28239.907999999999</v>
      </c>
      <c r="D32" s="13" t="str">
        <f t="shared" si="3"/>
        <v>vis</v>
      </c>
      <c r="E32" s="52">
        <f>VLOOKUP(C32,Active!C$21:E$971,3,FALSE)</f>
        <v>-3500.0101197131403</v>
      </c>
      <c r="F32" s="16" t="s">
        <v>63</v>
      </c>
      <c r="G32" s="13" t="str">
        <f t="shared" si="4"/>
        <v>28239.908</v>
      </c>
      <c r="H32" s="9">
        <f t="shared" si="5"/>
        <v>-3500.5</v>
      </c>
      <c r="I32" s="53" t="s">
        <v>79</v>
      </c>
      <c r="J32" s="54" t="s">
        <v>80</v>
      </c>
      <c r="K32" s="53">
        <v>-3500.5</v>
      </c>
      <c r="L32" s="53" t="s">
        <v>81</v>
      </c>
      <c r="M32" s="54" t="s">
        <v>66</v>
      </c>
      <c r="N32" s="54"/>
      <c r="O32" s="55" t="s">
        <v>82</v>
      </c>
      <c r="P32" s="55" t="s">
        <v>83</v>
      </c>
    </row>
    <row r="33" spans="1:16" ht="12.75" customHeight="1" thickBot="1">
      <c r="A33" s="9" t="str">
        <f t="shared" si="0"/>
        <v> PTAO 34.212 </v>
      </c>
      <c r="B33" s="16" t="str">
        <f t="shared" si="1"/>
        <v>I</v>
      </c>
      <c r="C33" s="9">
        <f t="shared" si="2"/>
        <v>28304.345000000001</v>
      </c>
      <c r="D33" s="13" t="str">
        <f t="shared" si="3"/>
        <v>vis</v>
      </c>
      <c r="E33" s="52">
        <f>VLOOKUP(C33,Active!C$21:E$971,3,FALSE)</f>
        <v>-3460.4898799802013</v>
      </c>
      <c r="F33" s="16" t="s">
        <v>63</v>
      </c>
      <c r="G33" s="13" t="str">
        <f t="shared" si="4"/>
        <v>28304.345</v>
      </c>
      <c r="H33" s="9">
        <f t="shared" si="5"/>
        <v>-3461</v>
      </c>
      <c r="I33" s="53" t="s">
        <v>84</v>
      </c>
      <c r="J33" s="54" t="s">
        <v>85</v>
      </c>
      <c r="K33" s="53">
        <v>-3461</v>
      </c>
      <c r="L33" s="53" t="s">
        <v>86</v>
      </c>
      <c r="M33" s="54" t="s">
        <v>66</v>
      </c>
      <c r="N33" s="54"/>
      <c r="O33" s="55" t="s">
        <v>82</v>
      </c>
      <c r="P33" s="55" t="s">
        <v>83</v>
      </c>
    </row>
    <row r="34" spans="1:16" ht="12.75" customHeight="1" thickBot="1">
      <c r="A34" s="9" t="str">
        <f t="shared" si="0"/>
        <v> PZ 9.208 </v>
      </c>
      <c r="B34" s="16" t="str">
        <f t="shared" si="1"/>
        <v>I</v>
      </c>
      <c r="C34" s="9">
        <f t="shared" si="2"/>
        <v>33364.550999999999</v>
      </c>
      <c r="D34" s="13" t="str">
        <f t="shared" si="3"/>
        <v>vis</v>
      </c>
      <c r="E34" s="52">
        <f>VLOOKUP(C34,Active!C$21:E$971,3,FALSE)</f>
        <v>-356.9848406697169</v>
      </c>
      <c r="F34" s="16" t="s">
        <v>63</v>
      </c>
      <c r="G34" s="13" t="str">
        <f t="shared" si="4"/>
        <v>33364.551</v>
      </c>
      <c r="H34" s="9">
        <f t="shared" si="5"/>
        <v>-357</v>
      </c>
      <c r="I34" s="53" t="s">
        <v>87</v>
      </c>
      <c r="J34" s="54" t="s">
        <v>88</v>
      </c>
      <c r="K34" s="53">
        <v>-357</v>
      </c>
      <c r="L34" s="53" t="s">
        <v>89</v>
      </c>
      <c r="M34" s="54" t="s">
        <v>70</v>
      </c>
      <c r="N34" s="54"/>
      <c r="O34" s="55" t="s">
        <v>82</v>
      </c>
      <c r="P34" s="55" t="s">
        <v>90</v>
      </c>
    </row>
    <row r="35" spans="1:16" ht="12.75" customHeight="1" thickBot="1">
      <c r="A35" s="9" t="str">
        <f t="shared" si="0"/>
        <v> PZ 9.208 </v>
      </c>
      <c r="B35" s="16" t="str">
        <f t="shared" si="1"/>
        <v>I</v>
      </c>
      <c r="C35" s="9">
        <f t="shared" si="2"/>
        <v>33589.485000000001</v>
      </c>
      <c r="D35" s="13" t="str">
        <f t="shared" si="3"/>
        <v>vis</v>
      </c>
      <c r="E35" s="52">
        <f>VLOOKUP(C35,Active!C$21:E$971,3,FALSE)</f>
        <v>-219.0292312513912</v>
      </c>
      <c r="F35" s="16" t="s">
        <v>63</v>
      </c>
      <c r="G35" s="13" t="str">
        <f t="shared" si="4"/>
        <v>33589.485</v>
      </c>
      <c r="H35" s="9">
        <f t="shared" si="5"/>
        <v>-219</v>
      </c>
      <c r="I35" s="53" t="s">
        <v>91</v>
      </c>
      <c r="J35" s="54" t="s">
        <v>92</v>
      </c>
      <c r="K35" s="53">
        <v>-219</v>
      </c>
      <c r="L35" s="53" t="s">
        <v>93</v>
      </c>
      <c r="M35" s="54" t="s">
        <v>70</v>
      </c>
      <c r="N35" s="54"/>
      <c r="O35" s="55" t="s">
        <v>82</v>
      </c>
      <c r="P35" s="55" t="s">
        <v>90</v>
      </c>
    </row>
    <row r="36" spans="1:16" ht="12.75" customHeight="1" thickBot="1">
      <c r="A36" s="9" t="str">
        <f t="shared" si="0"/>
        <v> PZ 9.208 </v>
      </c>
      <c r="B36" s="16" t="str">
        <f t="shared" si="1"/>
        <v>I</v>
      </c>
      <c r="C36" s="9">
        <f t="shared" si="2"/>
        <v>33718.266000000003</v>
      </c>
      <c r="D36" s="13" t="str">
        <f t="shared" si="3"/>
        <v>vis</v>
      </c>
      <c r="E36" s="52">
        <f>VLOOKUP(C36,Active!C$21:E$971,3,FALSE)</f>
        <v>-140.04579016866612</v>
      </c>
      <c r="F36" s="16" t="s">
        <v>63</v>
      </c>
      <c r="G36" s="13" t="str">
        <f t="shared" si="4"/>
        <v>33718.266</v>
      </c>
      <c r="H36" s="9">
        <f t="shared" si="5"/>
        <v>-140</v>
      </c>
      <c r="I36" s="53" t="s">
        <v>94</v>
      </c>
      <c r="J36" s="54" t="s">
        <v>95</v>
      </c>
      <c r="K36" s="53">
        <v>-140</v>
      </c>
      <c r="L36" s="53" t="s">
        <v>96</v>
      </c>
      <c r="M36" s="54" t="s">
        <v>70</v>
      </c>
      <c r="N36" s="54"/>
      <c r="O36" s="55" t="s">
        <v>82</v>
      </c>
      <c r="P36" s="55" t="s">
        <v>90</v>
      </c>
    </row>
    <row r="37" spans="1:16" ht="12.75" customHeight="1" thickBot="1">
      <c r="A37" s="9" t="str">
        <f t="shared" si="0"/>
        <v> PTAO 34.212 </v>
      </c>
      <c r="B37" s="16" t="str">
        <f t="shared" si="1"/>
        <v>II</v>
      </c>
      <c r="C37" s="9">
        <f t="shared" si="2"/>
        <v>33844.697999999997</v>
      </c>
      <c r="D37" s="13" t="str">
        <f t="shared" si="3"/>
        <v>vis</v>
      </c>
      <c r="E37" s="52">
        <f>VLOOKUP(C37,Active!C$21:E$971,3,FALSE)</f>
        <v>-62.503028247494747</v>
      </c>
      <c r="F37" s="16" t="s">
        <v>63</v>
      </c>
      <c r="G37" s="13" t="str">
        <f t="shared" si="4"/>
        <v>33844.698</v>
      </c>
      <c r="H37" s="9">
        <f t="shared" si="5"/>
        <v>-62.5</v>
      </c>
      <c r="I37" s="53" t="s">
        <v>97</v>
      </c>
      <c r="J37" s="54" t="s">
        <v>98</v>
      </c>
      <c r="K37" s="53">
        <v>-62.5</v>
      </c>
      <c r="L37" s="53" t="s">
        <v>99</v>
      </c>
      <c r="M37" s="54" t="s">
        <v>66</v>
      </c>
      <c r="N37" s="54"/>
      <c r="O37" s="55" t="s">
        <v>82</v>
      </c>
      <c r="P37" s="55" t="s">
        <v>83</v>
      </c>
    </row>
    <row r="38" spans="1:16" ht="12.75" customHeight="1" thickBot="1">
      <c r="A38" s="9" t="str">
        <f t="shared" si="0"/>
        <v> PZ 9.208 </v>
      </c>
      <c r="B38" s="16" t="str">
        <f t="shared" si="1"/>
        <v>I</v>
      </c>
      <c r="C38" s="9">
        <f t="shared" si="2"/>
        <v>33946.529000000002</v>
      </c>
      <c r="D38" s="13" t="str">
        <f t="shared" si="3"/>
        <v>vis</v>
      </c>
      <c r="E38" s="52">
        <f>VLOOKUP(C38,Active!C$21:E$971,3,FALSE)</f>
        <v>-4.8451959880492029E-2</v>
      </c>
      <c r="F38" s="16" t="s">
        <v>63</v>
      </c>
      <c r="G38" s="13" t="str">
        <f t="shared" si="4"/>
        <v>33946.529</v>
      </c>
      <c r="H38" s="9">
        <f t="shared" si="5"/>
        <v>0</v>
      </c>
      <c r="I38" s="53" t="s">
        <v>100</v>
      </c>
      <c r="J38" s="54" t="s">
        <v>101</v>
      </c>
      <c r="K38" s="53">
        <v>0</v>
      </c>
      <c r="L38" s="53" t="s">
        <v>102</v>
      </c>
      <c r="M38" s="54" t="s">
        <v>70</v>
      </c>
      <c r="N38" s="54"/>
      <c r="O38" s="55" t="s">
        <v>82</v>
      </c>
      <c r="P38" s="55" t="s">
        <v>90</v>
      </c>
    </row>
    <row r="39" spans="1:16" ht="12.75" customHeight="1" thickBot="1">
      <c r="A39" s="9" t="str">
        <f t="shared" si="0"/>
        <v> PZ 9.208 </v>
      </c>
      <c r="B39" s="16" t="str">
        <f t="shared" si="1"/>
        <v>I</v>
      </c>
      <c r="C39" s="9">
        <f t="shared" si="2"/>
        <v>33946.629999999997</v>
      </c>
      <c r="D39" s="13" t="str">
        <f t="shared" si="3"/>
        <v>vis</v>
      </c>
      <c r="E39" s="52">
        <f>VLOOKUP(C39,Active!C$21:E$971,3,FALSE)</f>
        <v>1.3492950851439563E-2</v>
      </c>
      <c r="F39" s="16" t="s">
        <v>63</v>
      </c>
      <c r="G39" s="13" t="str">
        <f t="shared" si="4"/>
        <v>33946.630</v>
      </c>
      <c r="H39" s="9">
        <f t="shared" si="5"/>
        <v>0</v>
      </c>
      <c r="I39" s="53" t="s">
        <v>103</v>
      </c>
      <c r="J39" s="54" t="s">
        <v>104</v>
      </c>
      <c r="K39" s="53">
        <v>0</v>
      </c>
      <c r="L39" s="53" t="s">
        <v>105</v>
      </c>
      <c r="M39" s="54" t="s">
        <v>70</v>
      </c>
      <c r="N39" s="54"/>
      <c r="O39" s="55" t="s">
        <v>82</v>
      </c>
      <c r="P39" s="55" t="s">
        <v>90</v>
      </c>
    </row>
    <row r="40" spans="1:16" ht="12.75" customHeight="1" thickBot="1">
      <c r="A40" s="9" t="str">
        <f t="shared" si="0"/>
        <v> PZ 9.208 </v>
      </c>
      <c r="B40" s="16" t="str">
        <f t="shared" si="1"/>
        <v>I</v>
      </c>
      <c r="C40" s="9">
        <f t="shared" si="2"/>
        <v>34036.245000000003</v>
      </c>
      <c r="D40" s="13" t="str">
        <f t="shared" si="3"/>
        <v>vis</v>
      </c>
      <c r="E40" s="52">
        <f>VLOOKUP(C40,Active!C$21:E$971,3,FALSE)</f>
        <v>54.975801619278265</v>
      </c>
      <c r="F40" s="16" t="s">
        <v>63</v>
      </c>
      <c r="G40" s="13" t="str">
        <f t="shared" si="4"/>
        <v>34036.245</v>
      </c>
      <c r="H40" s="9">
        <f t="shared" si="5"/>
        <v>55</v>
      </c>
      <c r="I40" s="53" t="s">
        <v>106</v>
      </c>
      <c r="J40" s="54" t="s">
        <v>107</v>
      </c>
      <c r="K40" s="53">
        <v>55</v>
      </c>
      <c r="L40" s="53" t="s">
        <v>108</v>
      </c>
      <c r="M40" s="54" t="s">
        <v>70</v>
      </c>
      <c r="N40" s="54"/>
      <c r="O40" s="55" t="s">
        <v>82</v>
      </c>
      <c r="P40" s="55" t="s">
        <v>90</v>
      </c>
    </row>
    <row r="41" spans="1:16" ht="12.75" customHeight="1" thickBot="1">
      <c r="A41" s="9" t="str">
        <f t="shared" si="0"/>
        <v> PZ 9.208 </v>
      </c>
      <c r="B41" s="16" t="str">
        <f t="shared" si="1"/>
        <v>I</v>
      </c>
      <c r="C41" s="9">
        <f t="shared" si="2"/>
        <v>34078.616000000002</v>
      </c>
      <c r="D41" s="13" t="str">
        <f t="shared" si="3"/>
        <v>vis</v>
      </c>
      <c r="E41" s="52">
        <f>VLOOKUP(C41,Active!C$21:E$971,3,FALSE)</f>
        <v>80.96261164650285</v>
      </c>
      <c r="F41" s="16" t="s">
        <v>63</v>
      </c>
      <c r="G41" s="13" t="str">
        <f t="shared" si="4"/>
        <v>34078.616</v>
      </c>
      <c r="H41" s="9">
        <f t="shared" si="5"/>
        <v>81</v>
      </c>
      <c r="I41" s="53" t="s">
        <v>109</v>
      </c>
      <c r="J41" s="54" t="s">
        <v>110</v>
      </c>
      <c r="K41" s="53">
        <v>81</v>
      </c>
      <c r="L41" s="53" t="s">
        <v>111</v>
      </c>
      <c r="M41" s="54" t="s">
        <v>70</v>
      </c>
      <c r="N41" s="54"/>
      <c r="O41" s="55" t="s">
        <v>82</v>
      </c>
      <c r="P41" s="55" t="s">
        <v>90</v>
      </c>
    </row>
    <row r="42" spans="1:16" ht="12.75" customHeight="1" thickBot="1">
      <c r="A42" s="9" t="str">
        <f t="shared" si="0"/>
        <v> PZ 9.208 </v>
      </c>
      <c r="B42" s="16" t="str">
        <f t="shared" si="1"/>
        <v>I</v>
      </c>
      <c r="C42" s="9">
        <f t="shared" si="2"/>
        <v>34096.559999999998</v>
      </c>
      <c r="D42" s="13" t="str">
        <f t="shared" si="3"/>
        <v>vis</v>
      </c>
      <c r="E42" s="52">
        <f>VLOOKUP(C42,Active!C$21:E$971,3,FALSE)</f>
        <v>91.96795301509033</v>
      </c>
      <c r="F42" s="16" t="s">
        <v>63</v>
      </c>
      <c r="G42" s="13" t="str">
        <f t="shared" si="4"/>
        <v>34096.560</v>
      </c>
      <c r="H42" s="9">
        <f t="shared" si="5"/>
        <v>92</v>
      </c>
      <c r="I42" s="53" t="s">
        <v>112</v>
      </c>
      <c r="J42" s="54" t="s">
        <v>113</v>
      </c>
      <c r="K42" s="53">
        <v>92</v>
      </c>
      <c r="L42" s="53" t="s">
        <v>114</v>
      </c>
      <c r="M42" s="54" t="s">
        <v>70</v>
      </c>
      <c r="N42" s="54"/>
      <c r="O42" s="55" t="s">
        <v>82</v>
      </c>
      <c r="P42" s="55" t="s">
        <v>90</v>
      </c>
    </row>
    <row r="43" spans="1:16" ht="12.75" customHeight="1" thickBot="1">
      <c r="A43" s="9" t="str">
        <f t="shared" ref="A43:A74" si="6">P43</f>
        <v> PZ 9.208 </v>
      </c>
      <c r="B43" s="16" t="str">
        <f t="shared" ref="B43:B74" si="7">IF(H43=INT(H43),"I","II")</f>
        <v>I</v>
      </c>
      <c r="C43" s="9">
        <f t="shared" ref="C43:C74" si="8">1*G43</f>
        <v>34098.302000000003</v>
      </c>
      <c r="D43" s="13" t="str">
        <f t="shared" ref="D43:D74" si="9">VLOOKUP(F43,I$1:J$5,2,FALSE)</f>
        <v>vis</v>
      </c>
      <c r="E43" s="52">
        <f>VLOOKUP(C43,Active!C$21:E$971,3,FALSE)</f>
        <v>93.036349396284365</v>
      </c>
      <c r="F43" s="16" t="s">
        <v>63</v>
      </c>
      <c r="G43" s="13" t="str">
        <f t="shared" ref="G43:G74" si="10">MID(I43,3,LEN(I43)-3)</f>
        <v>34098.302</v>
      </c>
      <c r="H43" s="9">
        <f t="shared" ref="H43:H74" si="11">1*K43</f>
        <v>93</v>
      </c>
      <c r="I43" s="53" t="s">
        <v>115</v>
      </c>
      <c r="J43" s="54" t="s">
        <v>116</v>
      </c>
      <c r="K43" s="53">
        <v>93</v>
      </c>
      <c r="L43" s="53" t="s">
        <v>117</v>
      </c>
      <c r="M43" s="54" t="s">
        <v>70</v>
      </c>
      <c r="N43" s="54"/>
      <c r="O43" s="55" t="s">
        <v>82</v>
      </c>
      <c r="P43" s="55" t="s">
        <v>90</v>
      </c>
    </row>
    <row r="44" spans="1:16" ht="12.75" customHeight="1" thickBot="1">
      <c r="A44" s="9" t="str">
        <f t="shared" si="6"/>
        <v> PZ 9.208 </v>
      </c>
      <c r="B44" s="16" t="str">
        <f t="shared" si="7"/>
        <v>I</v>
      </c>
      <c r="C44" s="9">
        <f t="shared" si="8"/>
        <v>34114.527999999998</v>
      </c>
      <c r="D44" s="13" t="str">
        <f t="shared" si="9"/>
        <v>vis</v>
      </c>
      <c r="E44" s="52">
        <f>VLOOKUP(C44,Active!C$21:E$971,3,FALSE)</f>
        <v>102.98801396642969</v>
      </c>
      <c r="F44" s="16" t="s">
        <v>63</v>
      </c>
      <c r="G44" s="13" t="str">
        <f t="shared" si="10"/>
        <v>34114.528</v>
      </c>
      <c r="H44" s="9">
        <f t="shared" si="11"/>
        <v>103</v>
      </c>
      <c r="I44" s="53" t="s">
        <v>118</v>
      </c>
      <c r="J44" s="54" t="s">
        <v>119</v>
      </c>
      <c r="K44" s="53">
        <v>103</v>
      </c>
      <c r="L44" s="53" t="s">
        <v>120</v>
      </c>
      <c r="M44" s="54" t="s">
        <v>70</v>
      </c>
      <c r="N44" s="54"/>
      <c r="O44" s="55" t="s">
        <v>82</v>
      </c>
      <c r="P44" s="55" t="s">
        <v>90</v>
      </c>
    </row>
    <row r="45" spans="1:16" ht="12.75" customHeight="1" thickBot="1">
      <c r="A45" s="9" t="str">
        <f t="shared" si="6"/>
        <v> PZ 9.208 </v>
      </c>
      <c r="B45" s="16" t="str">
        <f t="shared" si="7"/>
        <v>I</v>
      </c>
      <c r="C45" s="9">
        <f t="shared" si="8"/>
        <v>34119.432999999997</v>
      </c>
      <c r="D45" s="13" t="str">
        <f t="shared" si="9"/>
        <v>vis</v>
      </c>
      <c r="E45" s="52">
        <f>VLOOKUP(C45,Active!C$21:E$971,3,FALSE)</f>
        <v>105.99632869073426</v>
      </c>
      <c r="F45" s="16" t="s">
        <v>63</v>
      </c>
      <c r="G45" s="13" t="str">
        <f t="shared" si="10"/>
        <v>34119.433</v>
      </c>
      <c r="H45" s="9">
        <f t="shared" si="11"/>
        <v>106</v>
      </c>
      <c r="I45" s="53" t="s">
        <v>121</v>
      </c>
      <c r="J45" s="54" t="s">
        <v>122</v>
      </c>
      <c r="K45" s="53">
        <v>106</v>
      </c>
      <c r="L45" s="53" t="s">
        <v>123</v>
      </c>
      <c r="M45" s="54" t="s">
        <v>70</v>
      </c>
      <c r="N45" s="54"/>
      <c r="O45" s="55" t="s">
        <v>82</v>
      </c>
      <c r="P45" s="55" t="s">
        <v>90</v>
      </c>
    </row>
    <row r="46" spans="1:16" ht="12.75" customHeight="1" thickBot="1">
      <c r="A46" s="9" t="str">
        <f t="shared" si="6"/>
        <v> PZ 9.208 </v>
      </c>
      <c r="B46" s="16" t="str">
        <f t="shared" si="7"/>
        <v>I</v>
      </c>
      <c r="C46" s="9">
        <f t="shared" si="8"/>
        <v>34119.485000000001</v>
      </c>
      <c r="D46" s="13" t="str">
        <f t="shared" si="9"/>
        <v>vis</v>
      </c>
      <c r="E46" s="52">
        <f>VLOOKUP(C46,Active!C$21:E$971,3,FALSE)</f>
        <v>106.02822112002556</v>
      </c>
      <c r="F46" s="16" t="s">
        <v>63</v>
      </c>
      <c r="G46" s="13" t="str">
        <f t="shared" si="10"/>
        <v>34119.485</v>
      </c>
      <c r="H46" s="9">
        <f t="shared" si="11"/>
        <v>106</v>
      </c>
      <c r="I46" s="53" t="s">
        <v>124</v>
      </c>
      <c r="J46" s="54" t="s">
        <v>125</v>
      </c>
      <c r="K46" s="53">
        <v>106</v>
      </c>
      <c r="L46" s="53" t="s">
        <v>126</v>
      </c>
      <c r="M46" s="54" t="s">
        <v>70</v>
      </c>
      <c r="N46" s="54"/>
      <c r="O46" s="55" t="s">
        <v>82</v>
      </c>
      <c r="P46" s="55" t="s">
        <v>90</v>
      </c>
    </row>
    <row r="47" spans="1:16" ht="12.75" customHeight="1" thickBot="1">
      <c r="A47" s="9" t="str">
        <f t="shared" si="6"/>
        <v> PTAO 34.212 </v>
      </c>
      <c r="B47" s="16" t="str">
        <f t="shared" si="7"/>
        <v>I</v>
      </c>
      <c r="C47" s="9">
        <f t="shared" si="8"/>
        <v>34419.442000000003</v>
      </c>
      <c r="D47" s="13" t="str">
        <f t="shared" si="9"/>
        <v>vis</v>
      </c>
      <c r="E47" s="52">
        <f>VLOOKUP(C47,Active!C$21:E$971,3,FALSE)</f>
        <v>289.99663289544776</v>
      </c>
      <c r="F47" s="16" t="s">
        <v>63</v>
      </c>
      <c r="G47" s="13" t="str">
        <f t="shared" si="10"/>
        <v>34419.442</v>
      </c>
      <c r="H47" s="9">
        <f t="shared" si="11"/>
        <v>290</v>
      </c>
      <c r="I47" s="53" t="s">
        <v>127</v>
      </c>
      <c r="J47" s="54" t="s">
        <v>128</v>
      </c>
      <c r="K47" s="53">
        <v>290</v>
      </c>
      <c r="L47" s="53" t="s">
        <v>99</v>
      </c>
      <c r="M47" s="54" t="s">
        <v>66</v>
      </c>
      <c r="N47" s="54"/>
      <c r="O47" s="55" t="s">
        <v>82</v>
      </c>
      <c r="P47" s="55" t="s">
        <v>83</v>
      </c>
    </row>
    <row r="48" spans="1:16" ht="12.75" customHeight="1" thickBot="1">
      <c r="A48" s="9" t="str">
        <f t="shared" si="6"/>
        <v> PTAO 34.212 </v>
      </c>
      <c r="B48" s="16" t="str">
        <f t="shared" si="7"/>
        <v>II</v>
      </c>
      <c r="C48" s="9">
        <f t="shared" si="8"/>
        <v>34485.478999999999</v>
      </c>
      <c r="D48" s="13" t="str">
        <f t="shared" si="9"/>
        <v>vis</v>
      </c>
      <c r="E48" s="52">
        <f>VLOOKUP(C48,Active!C$21:E$971,3,FALSE)</f>
        <v>330.49817814497635</v>
      </c>
      <c r="F48" s="16" t="s">
        <v>63</v>
      </c>
      <c r="G48" s="13" t="str">
        <f t="shared" si="10"/>
        <v>34485.479</v>
      </c>
      <c r="H48" s="9">
        <f t="shared" si="11"/>
        <v>330.5</v>
      </c>
      <c r="I48" s="53" t="s">
        <v>129</v>
      </c>
      <c r="J48" s="54" t="s">
        <v>130</v>
      </c>
      <c r="K48" s="53">
        <v>330.5</v>
      </c>
      <c r="L48" s="53" t="s">
        <v>65</v>
      </c>
      <c r="M48" s="54" t="s">
        <v>66</v>
      </c>
      <c r="N48" s="54"/>
      <c r="O48" s="55" t="s">
        <v>82</v>
      </c>
      <c r="P48" s="55" t="s">
        <v>83</v>
      </c>
    </row>
    <row r="49" spans="1:16" ht="12.75" customHeight="1" thickBot="1">
      <c r="A49" s="9" t="str">
        <f t="shared" si="6"/>
        <v> PTAO 34.212 </v>
      </c>
      <c r="B49" s="16" t="str">
        <f t="shared" si="7"/>
        <v>II</v>
      </c>
      <c r="C49" s="9">
        <f t="shared" si="8"/>
        <v>35023.54</v>
      </c>
      <c r="D49" s="13" t="str">
        <f t="shared" si="9"/>
        <v>vis</v>
      </c>
      <c r="E49" s="52">
        <f>VLOOKUP(C49,Active!C$21:E$971,3,FALSE)</f>
        <v>660.49957037217894</v>
      </c>
      <c r="F49" s="16" t="s">
        <v>63</v>
      </c>
      <c r="G49" s="13" t="str">
        <f t="shared" si="10"/>
        <v>35023.540</v>
      </c>
      <c r="H49" s="9">
        <f t="shared" si="11"/>
        <v>660.5</v>
      </c>
      <c r="I49" s="53" t="s">
        <v>131</v>
      </c>
      <c r="J49" s="54" t="s">
        <v>132</v>
      </c>
      <c r="K49" s="53">
        <v>660.5</v>
      </c>
      <c r="L49" s="53" t="s">
        <v>133</v>
      </c>
      <c r="M49" s="54" t="s">
        <v>66</v>
      </c>
      <c r="N49" s="54"/>
      <c r="O49" s="55" t="s">
        <v>82</v>
      </c>
      <c r="P49" s="55" t="s">
        <v>83</v>
      </c>
    </row>
    <row r="50" spans="1:16" ht="12.75" customHeight="1" thickBot="1">
      <c r="A50" s="9" t="str">
        <f t="shared" si="6"/>
        <v> PTAO 34.212 </v>
      </c>
      <c r="B50" s="16" t="str">
        <f t="shared" si="7"/>
        <v>I</v>
      </c>
      <c r="C50" s="9">
        <f t="shared" si="8"/>
        <v>35145.016000000003</v>
      </c>
      <c r="D50" s="13" t="str">
        <f t="shared" si="9"/>
        <v>vis</v>
      </c>
      <c r="E50" s="52">
        <f>VLOOKUP(C50,Active!C$21:E$971,3,FALSE)</f>
        <v>735.00273845570905</v>
      </c>
      <c r="F50" s="16" t="s">
        <v>63</v>
      </c>
      <c r="G50" s="13" t="str">
        <f t="shared" si="10"/>
        <v>35145.016</v>
      </c>
      <c r="H50" s="9">
        <f t="shared" si="11"/>
        <v>735</v>
      </c>
      <c r="I50" s="53" t="s">
        <v>134</v>
      </c>
      <c r="J50" s="54" t="s">
        <v>135</v>
      </c>
      <c r="K50" s="53">
        <v>735</v>
      </c>
      <c r="L50" s="53" t="s">
        <v>136</v>
      </c>
      <c r="M50" s="54" t="s">
        <v>66</v>
      </c>
      <c r="N50" s="54"/>
      <c r="O50" s="55" t="s">
        <v>82</v>
      </c>
      <c r="P50" s="55" t="s">
        <v>83</v>
      </c>
    </row>
    <row r="51" spans="1:16" ht="12.75" customHeight="1" thickBot="1">
      <c r="A51" s="9" t="str">
        <f t="shared" si="6"/>
        <v> MSAI 37.260 </v>
      </c>
      <c r="B51" s="16" t="str">
        <f t="shared" si="7"/>
        <v>I</v>
      </c>
      <c r="C51" s="9">
        <f t="shared" si="8"/>
        <v>36780.417999999998</v>
      </c>
      <c r="D51" s="13" t="str">
        <f t="shared" si="9"/>
        <v>vis</v>
      </c>
      <c r="E51" s="52">
        <f>VLOOKUP(C51,Active!C$21:E$971,3,FALSE)</f>
        <v>1738.020866235177</v>
      </c>
      <c r="F51" s="16" t="s">
        <v>63</v>
      </c>
      <c r="G51" s="13" t="str">
        <f t="shared" si="10"/>
        <v>36780.418</v>
      </c>
      <c r="H51" s="9">
        <f t="shared" si="11"/>
        <v>1738</v>
      </c>
      <c r="I51" s="53" t="s">
        <v>137</v>
      </c>
      <c r="J51" s="54" t="s">
        <v>138</v>
      </c>
      <c r="K51" s="53">
        <v>1738</v>
      </c>
      <c r="L51" s="53" t="s">
        <v>139</v>
      </c>
      <c r="M51" s="54" t="s">
        <v>70</v>
      </c>
      <c r="N51" s="54"/>
      <c r="O51" s="55" t="s">
        <v>140</v>
      </c>
      <c r="P51" s="55" t="s">
        <v>141</v>
      </c>
    </row>
    <row r="52" spans="1:16" ht="12.75" customHeight="1" thickBot="1">
      <c r="A52" s="9" t="str">
        <f t="shared" si="6"/>
        <v> MSAI 37.260 </v>
      </c>
      <c r="B52" s="16" t="str">
        <f t="shared" si="7"/>
        <v>I</v>
      </c>
      <c r="C52" s="9">
        <f t="shared" si="8"/>
        <v>36806.39</v>
      </c>
      <c r="D52" s="13" t="str">
        <f t="shared" si="9"/>
        <v>vis</v>
      </c>
      <c r="E52" s="52">
        <f>VLOOKUP(C52,Active!C$21:E$971,3,FALSE)</f>
        <v>1753.949908033273</v>
      </c>
      <c r="F52" s="16" t="s">
        <v>63</v>
      </c>
      <c r="G52" s="13" t="str">
        <f t="shared" si="10"/>
        <v>36806.390</v>
      </c>
      <c r="H52" s="9">
        <f t="shared" si="11"/>
        <v>1754</v>
      </c>
      <c r="I52" s="53" t="s">
        <v>142</v>
      </c>
      <c r="J52" s="54" t="s">
        <v>143</v>
      </c>
      <c r="K52" s="53">
        <v>1754</v>
      </c>
      <c r="L52" s="53" t="s">
        <v>144</v>
      </c>
      <c r="M52" s="54" t="s">
        <v>70</v>
      </c>
      <c r="N52" s="54"/>
      <c r="O52" s="55" t="s">
        <v>140</v>
      </c>
      <c r="P52" s="55" t="s">
        <v>141</v>
      </c>
    </row>
    <row r="53" spans="1:16" ht="12.75" customHeight="1" thickBot="1">
      <c r="A53" s="9" t="str">
        <f t="shared" si="6"/>
        <v> MSAI 37.260 </v>
      </c>
      <c r="B53" s="16" t="str">
        <f t="shared" si="7"/>
        <v>I</v>
      </c>
      <c r="C53" s="9">
        <f t="shared" si="8"/>
        <v>36842.341</v>
      </c>
      <c r="D53" s="13" t="str">
        <f t="shared" si="9"/>
        <v>vis</v>
      </c>
      <c r="E53" s="52">
        <f>VLOOKUP(C53,Active!C$21:E$971,3,FALSE)</f>
        <v>1775.9992296751695</v>
      </c>
      <c r="F53" s="16" t="s">
        <v>63</v>
      </c>
      <c r="G53" s="13" t="str">
        <f t="shared" si="10"/>
        <v>36842.341</v>
      </c>
      <c r="H53" s="9">
        <f t="shared" si="11"/>
        <v>1776</v>
      </c>
      <c r="I53" s="53" t="s">
        <v>145</v>
      </c>
      <c r="J53" s="54" t="s">
        <v>146</v>
      </c>
      <c r="K53" s="53">
        <v>1776</v>
      </c>
      <c r="L53" s="53" t="s">
        <v>133</v>
      </c>
      <c r="M53" s="54" t="s">
        <v>70</v>
      </c>
      <c r="N53" s="54"/>
      <c r="O53" s="55" t="s">
        <v>140</v>
      </c>
      <c r="P53" s="55" t="s">
        <v>141</v>
      </c>
    </row>
    <row r="54" spans="1:16" ht="12.75" customHeight="1" thickBot="1">
      <c r="A54" s="9" t="str">
        <f t="shared" si="6"/>
        <v> MSAI 37.260 </v>
      </c>
      <c r="B54" s="16" t="str">
        <f t="shared" si="7"/>
        <v>I</v>
      </c>
      <c r="C54" s="9">
        <f t="shared" si="8"/>
        <v>36896.216999999997</v>
      </c>
      <c r="D54" s="13" t="str">
        <f t="shared" si="9"/>
        <v>vis</v>
      </c>
      <c r="E54" s="52">
        <f>VLOOKUP(C54,Active!C$21:E$971,3,FALSE)</f>
        <v>1809.0422396826436</v>
      </c>
      <c r="F54" s="16" t="s">
        <v>63</v>
      </c>
      <c r="G54" s="13" t="str">
        <f t="shared" si="10"/>
        <v>36896.217</v>
      </c>
      <c r="H54" s="9">
        <f t="shared" si="11"/>
        <v>1809</v>
      </c>
      <c r="I54" s="53" t="s">
        <v>147</v>
      </c>
      <c r="J54" s="54" t="s">
        <v>148</v>
      </c>
      <c r="K54" s="53">
        <v>1809</v>
      </c>
      <c r="L54" s="53" t="s">
        <v>149</v>
      </c>
      <c r="M54" s="54" t="s">
        <v>70</v>
      </c>
      <c r="N54" s="54"/>
      <c r="O54" s="55" t="s">
        <v>140</v>
      </c>
      <c r="P54" s="55" t="s">
        <v>141</v>
      </c>
    </row>
    <row r="55" spans="1:16" ht="12.75" customHeight="1" thickBot="1">
      <c r="A55" s="9" t="str">
        <f t="shared" si="6"/>
        <v> MSAI 37.260 </v>
      </c>
      <c r="B55" s="16" t="str">
        <f t="shared" si="7"/>
        <v>I</v>
      </c>
      <c r="C55" s="9">
        <f t="shared" si="8"/>
        <v>36922.232000000004</v>
      </c>
      <c r="D55" s="13" t="str">
        <f t="shared" si="9"/>
        <v>vis</v>
      </c>
      <c r="E55" s="52">
        <f>VLOOKUP(C55,Active!C$21:E$971,3,FALSE)</f>
        <v>1824.9976540665014</v>
      </c>
      <c r="F55" s="16" t="s">
        <v>63</v>
      </c>
      <c r="G55" s="13" t="str">
        <f t="shared" si="10"/>
        <v>36922.232</v>
      </c>
      <c r="H55" s="9">
        <f t="shared" si="11"/>
        <v>1825</v>
      </c>
      <c r="I55" s="53" t="s">
        <v>150</v>
      </c>
      <c r="J55" s="54" t="s">
        <v>151</v>
      </c>
      <c r="K55" s="53">
        <v>1825</v>
      </c>
      <c r="L55" s="53" t="s">
        <v>152</v>
      </c>
      <c r="M55" s="54" t="s">
        <v>70</v>
      </c>
      <c r="N55" s="54"/>
      <c r="O55" s="55" t="s">
        <v>140</v>
      </c>
      <c r="P55" s="55" t="s">
        <v>141</v>
      </c>
    </row>
    <row r="56" spans="1:16" ht="12.75" customHeight="1" thickBot="1">
      <c r="A56" s="9" t="str">
        <f t="shared" si="6"/>
        <v> MSAI 37.260 </v>
      </c>
      <c r="B56" s="16" t="str">
        <f t="shared" si="7"/>
        <v>I</v>
      </c>
      <c r="C56" s="9">
        <f t="shared" si="8"/>
        <v>37116.394999999997</v>
      </c>
      <c r="D56" s="13" t="str">
        <f t="shared" si="9"/>
        <v>vis</v>
      </c>
      <c r="E56" s="52">
        <f>VLOOKUP(C56,Active!C$21:E$971,3,FALSE)</f>
        <v>1944.0809184528962</v>
      </c>
      <c r="F56" s="16" t="s">
        <v>63</v>
      </c>
      <c r="G56" s="13" t="str">
        <f t="shared" si="10"/>
        <v>37116.395</v>
      </c>
      <c r="H56" s="9">
        <f t="shared" si="11"/>
        <v>1944</v>
      </c>
      <c r="I56" s="53" t="s">
        <v>153</v>
      </c>
      <c r="J56" s="54" t="s">
        <v>154</v>
      </c>
      <c r="K56" s="53">
        <v>1944</v>
      </c>
      <c r="L56" s="53" t="s">
        <v>155</v>
      </c>
      <c r="M56" s="54" t="s">
        <v>70</v>
      </c>
      <c r="N56" s="54"/>
      <c r="O56" s="55" t="s">
        <v>140</v>
      </c>
      <c r="P56" s="55" t="s">
        <v>141</v>
      </c>
    </row>
    <row r="57" spans="1:16" ht="12.75" customHeight="1" thickBot="1">
      <c r="A57" s="9" t="str">
        <f t="shared" si="6"/>
        <v> MSAI 37.260 </v>
      </c>
      <c r="B57" s="16" t="str">
        <f t="shared" si="7"/>
        <v>I</v>
      </c>
      <c r="C57" s="9">
        <f t="shared" si="8"/>
        <v>37168.434000000001</v>
      </c>
      <c r="D57" s="13" t="str">
        <f t="shared" si="9"/>
        <v>vis</v>
      </c>
      <c r="E57" s="52">
        <f>VLOOKUP(C57,Active!C$21:E$971,3,FALSE)</f>
        <v>1975.9972670641368</v>
      </c>
      <c r="F57" s="16" t="s">
        <v>63</v>
      </c>
      <c r="G57" s="13" t="str">
        <f t="shared" si="10"/>
        <v>37168.434</v>
      </c>
      <c r="H57" s="9">
        <f t="shared" si="11"/>
        <v>1976</v>
      </c>
      <c r="I57" s="53" t="s">
        <v>156</v>
      </c>
      <c r="J57" s="54" t="s">
        <v>157</v>
      </c>
      <c r="K57" s="53">
        <v>1976</v>
      </c>
      <c r="L57" s="53" t="s">
        <v>152</v>
      </c>
      <c r="M57" s="54" t="s">
        <v>70</v>
      </c>
      <c r="N57" s="54"/>
      <c r="O57" s="55" t="s">
        <v>140</v>
      </c>
      <c r="P57" s="55" t="s">
        <v>141</v>
      </c>
    </row>
    <row r="58" spans="1:16" ht="12.75" customHeight="1" thickBot="1">
      <c r="A58" s="9" t="str">
        <f t="shared" si="6"/>
        <v> MSAI 37.260 </v>
      </c>
      <c r="B58" s="16" t="str">
        <f t="shared" si="7"/>
        <v>I</v>
      </c>
      <c r="C58" s="9">
        <f t="shared" si="8"/>
        <v>37173.356</v>
      </c>
      <c r="D58" s="13" t="str">
        <f t="shared" si="9"/>
        <v>vis</v>
      </c>
      <c r="E58" s="52">
        <f>VLOOKUP(C58,Active!C$21:E$971,3,FALSE)</f>
        <v>1979.016008159555</v>
      </c>
      <c r="F58" s="16" t="s">
        <v>63</v>
      </c>
      <c r="G58" s="13" t="str">
        <f t="shared" si="10"/>
        <v>37173.356</v>
      </c>
      <c r="H58" s="9">
        <f t="shared" si="11"/>
        <v>1979</v>
      </c>
      <c r="I58" s="53" t="s">
        <v>158</v>
      </c>
      <c r="J58" s="54" t="s">
        <v>159</v>
      </c>
      <c r="K58" s="53">
        <v>1979</v>
      </c>
      <c r="L58" s="53" t="s">
        <v>160</v>
      </c>
      <c r="M58" s="54" t="s">
        <v>70</v>
      </c>
      <c r="N58" s="54"/>
      <c r="O58" s="55" t="s">
        <v>140</v>
      </c>
      <c r="P58" s="55" t="s">
        <v>141</v>
      </c>
    </row>
    <row r="59" spans="1:16" ht="12.75" customHeight="1" thickBot="1">
      <c r="A59" s="9" t="str">
        <f t="shared" si="6"/>
        <v> MSAI 37.260 </v>
      </c>
      <c r="B59" s="16" t="str">
        <f t="shared" si="7"/>
        <v>I</v>
      </c>
      <c r="C59" s="9">
        <f t="shared" si="8"/>
        <v>37253.224000000002</v>
      </c>
      <c r="D59" s="13" t="str">
        <f t="shared" si="9"/>
        <v>vis</v>
      </c>
      <c r="E59" s="52">
        <f>VLOOKUP(C59,Active!C$21:E$971,3,FALSE)</f>
        <v>2028.0003262840853</v>
      </c>
      <c r="F59" s="16" t="s">
        <v>63</v>
      </c>
      <c r="G59" s="13" t="str">
        <f t="shared" si="10"/>
        <v>37253.224</v>
      </c>
      <c r="H59" s="9">
        <f t="shared" si="11"/>
        <v>2028</v>
      </c>
      <c r="I59" s="53" t="s">
        <v>161</v>
      </c>
      <c r="J59" s="54" t="s">
        <v>162</v>
      </c>
      <c r="K59" s="53">
        <v>2028</v>
      </c>
      <c r="L59" s="53" t="s">
        <v>163</v>
      </c>
      <c r="M59" s="54" t="s">
        <v>70</v>
      </c>
      <c r="N59" s="54"/>
      <c r="O59" s="55" t="s">
        <v>140</v>
      </c>
      <c r="P59" s="55" t="s">
        <v>141</v>
      </c>
    </row>
    <row r="60" spans="1:16" ht="12.75" customHeight="1" thickBot="1">
      <c r="A60" s="9" t="str">
        <f t="shared" si="6"/>
        <v> MSAI 37.260 </v>
      </c>
      <c r="B60" s="16" t="str">
        <f t="shared" si="7"/>
        <v>I</v>
      </c>
      <c r="C60" s="9">
        <f t="shared" si="8"/>
        <v>37468.421999999999</v>
      </c>
      <c r="D60" s="13" t="str">
        <f t="shared" si="9"/>
        <v>vis</v>
      </c>
      <c r="E60" s="52">
        <f>VLOOKUP(C60,Active!C$21:E$971,3,FALSE)</f>
        <v>2159.9846916339402</v>
      </c>
      <c r="F60" s="16" t="s">
        <v>63</v>
      </c>
      <c r="G60" s="13" t="str">
        <f t="shared" si="10"/>
        <v>37468.422</v>
      </c>
      <c r="H60" s="9">
        <f t="shared" si="11"/>
        <v>2160</v>
      </c>
      <c r="I60" s="53" t="s">
        <v>164</v>
      </c>
      <c r="J60" s="54" t="s">
        <v>165</v>
      </c>
      <c r="K60" s="53">
        <v>2160</v>
      </c>
      <c r="L60" s="53" t="s">
        <v>166</v>
      </c>
      <c r="M60" s="54" t="s">
        <v>70</v>
      </c>
      <c r="N60" s="54"/>
      <c r="O60" s="55" t="s">
        <v>140</v>
      </c>
      <c r="P60" s="55" t="s">
        <v>141</v>
      </c>
    </row>
    <row r="61" spans="1:16" ht="12.75" customHeight="1" thickBot="1">
      <c r="A61" s="9" t="str">
        <f t="shared" si="6"/>
        <v> MSAI 37.260 </v>
      </c>
      <c r="B61" s="16" t="str">
        <f t="shared" si="7"/>
        <v>I</v>
      </c>
      <c r="C61" s="9">
        <f t="shared" si="8"/>
        <v>37499.461000000003</v>
      </c>
      <c r="D61" s="13" t="str">
        <f t="shared" si="9"/>
        <v>vis</v>
      </c>
      <c r="E61" s="52">
        <f>VLOOKUP(C61,Active!C$21:E$971,3,FALSE)</f>
        <v>2179.0214053398981</v>
      </c>
      <c r="F61" s="16" t="s">
        <v>63</v>
      </c>
      <c r="G61" s="13" t="str">
        <f t="shared" si="10"/>
        <v>37499.461</v>
      </c>
      <c r="H61" s="9">
        <f t="shared" si="11"/>
        <v>2179</v>
      </c>
      <c r="I61" s="53" t="s">
        <v>167</v>
      </c>
      <c r="J61" s="54" t="s">
        <v>168</v>
      </c>
      <c r="K61" s="53">
        <v>2179</v>
      </c>
      <c r="L61" s="53" t="s">
        <v>169</v>
      </c>
      <c r="M61" s="54" t="s">
        <v>70</v>
      </c>
      <c r="N61" s="54"/>
      <c r="O61" s="55" t="s">
        <v>140</v>
      </c>
      <c r="P61" s="55" t="s">
        <v>141</v>
      </c>
    </row>
    <row r="62" spans="1:16" ht="12.75" customHeight="1" thickBot="1">
      <c r="A62" s="9" t="str">
        <f t="shared" si="6"/>
        <v> MSAI 37.260 </v>
      </c>
      <c r="B62" s="16" t="str">
        <f t="shared" si="7"/>
        <v>I</v>
      </c>
      <c r="C62" s="9">
        <f t="shared" si="8"/>
        <v>37517.375</v>
      </c>
      <c r="D62" s="13" t="str">
        <f t="shared" si="9"/>
        <v>vis</v>
      </c>
      <c r="E62" s="52">
        <f>VLOOKUP(C62,Active!C$21:E$971,3,FALSE)</f>
        <v>2190.0083472300503</v>
      </c>
      <c r="F62" s="16" t="s">
        <v>63</v>
      </c>
      <c r="G62" s="13" t="str">
        <f t="shared" si="10"/>
        <v>37517.375</v>
      </c>
      <c r="H62" s="9">
        <f t="shared" si="11"/>
        <v>2190</v>
      </c>
      <c r="I62" s="53" t="s">
        <v>170</v>
      </c>
      <c r="J62" s="54" t="s">
        <v>171</v>
      </c>
      <c r="K62" s="53">
        <v>2190</v>
      </c>
      <c r="L62" s="53" t="s">
        <v>172</v>
      </c>
      <c r="M62" s="54" t="s">
        <v>70</v>
      </c>
      <c r="N62" s="54"/>
      <c r="O62" s="55" t="s">
        <v>140</v>
      </c>
      <c r="P62" s="55" t="s">
        <v>141</v>
      </c>
    </row>
    <row r="63" spans="1:16" ht="12.75" customHeight="1" thickBot="1">
      <c r="A63" s="9" t="str">
        <f t="shared" si="6"/>
        <v> MSAI 37.260 </v>
      </c>
      <c r="B63" s="16" t="str">
        <f t="shared" si="7"/>
        <v>I</v>
      </c>
      <c r="C63" s="9">
        <f t="shared" si="8"/>
        <v>37548.406000000003</v>
      </c>
      <c r="D63" s="13" t="str">
        <f t="shared" si="9"/>
        <v>vis</v>
      </c>
      <c r="E63" s="52">
        <f>VLOOKUP(C63,Active!C$21:E$971,3,FALSE)</f>
        <v>2209.0401544084243</v>
      </c>
      <c r="F63" s="16" t="s">
        <v>63</v>
      </c>
      <c r="G63" s="13" t="str">
        <f t="shared" si="10"/>
        <v>37548.406</v>
      </c>
      <c r="H63" s="9">
        <f t="shared" si="11"/>
        <v>2209</v>
      </c>
      <c r="I63" s="53" t="s">
        <v>173</v>
      </c>
      <c r="J63" s="54" t="s">
        <v>174</v>
      </c>
      <c r="K63" s="53">
        <v>2209</v>
      </c>
      <c r="L63" s="53" t="s">
        <v>175</v>
      </c>
      <c r="M63" s="54" t="s">
        <v>70</v>
      </c>
      <c r="N63" s="54"/>
      <c r="O63" s="55" t="s">
        <v>140</v>
      </c>
      <c r="P63" s="55" t="s">
        <v>141</v>
      </c>
    </row>
    <row r="64" spans="1:16" ht="12.75" customHeight="1" thickBot="1">
      <c r="A64" s="9" t="str">
        <f t="shared" si="6"/>
        <v> MSAI 37.260 </v>
      </c>
      <c r="B64" s="16" t="str">
        <f t="shared" si="7"/>
        <v>I</v>
      </c>
      <c r="C64" s="9">
        <f t="shared" si="8"/>
        <v>37584.252</v>
      </c>
      <c r="D64" s="13" t="str">
        <f t="shared" si="9"/>
        <v>vis</v>
      </c>
      <c r="E64" s="52">
        <f>VLOOKUP(C64,Active!C$21:E$971,3,FALSE)</f>
        <v>2231.0250778757927</v>
      </c>
      <c r="F64" s="16" t="s">
        <v>63</v>
      </c>
      <c r="G64" s="13" t="str">
        <f t="shared" si="10"/>
        <v>37584.252</v>
      </c>
      <c r="H64" s="9">
        <f t="shared" si="11"/>
        <v>2231</v>
      </c>
      <c r="I64" s="53" t="s">
        <v>176</v>
      </c>
      <c r="J64" s="54" t="s">
        <v>177</v>
      </c>
      <c r="K64" s="53">
        <v>2231</v>
      </c>
      <c r="L64" s="53" t="s">
        <v>178</v>
      </c>
      <c r="M64" s="54" t="s">
        <v>70</v>
      </c>
      <c r="N64" s="54"/>
      <c r="O64" s="55" t="s">
        <v>140</v>
      </c>
      <c r="P64" s="55" t="s">
        <v>141</v>
      </c>
    </row>
    <row r="65" spans="1:16" ht="12.75" customHeight="1" thickBot="1">
      <c r="A65" s="9" t="str">
        <f t="shared" si="6"/>
        <v> MSAI 37.260 </v>
      </c>
      <c r="B65" s="16" t="str">
        <f t="shared" si="7"/>
        <v>I</v>
      </c>
      <c r="C65" s="9">
        <f t="shared" si="8"/>
        <v>37615.222999999998</v>
      </c>
      <c r="D65" s="13" t="str">
        <f t="shared" si="9"/>
        <v>vis</v>
      </c>
      <c r="E65" s="52">
        <f>VLOOKUP(C65,Active!C$21:E$971,3,FALSE)</f>
        <v>2250.0200860972914</v>
      </c>
      <c r="F65" s="16" t="s">
        <v>63</v>
      </c>
      <c r="G65" s="13" t="str">
        <f t="shared" si="10"/>
        <v>37615.223</v>
      </c>
      <c r="H65" s="9">
        <f t="shared" si="11"/>
        <v>2250</v>
      </c>
      <c r="I65" s="53" t="s">
        <v>179</v>
      </c>
      <c r="J65" s="54" t="s">
        <v>180</v>
      </c>
      <c r="K65" s="53">
        <v>2250</v>
      </c>
      <c r="L65" s="53" t="s">
        <v>181</v>
      </c>
      <c r="M65" s="54" t="s">
        <v>70</v>
      </c>
      <c r="N65" s="54"/>
      <c r="O65" s="55" t="s">
        <v>140</v>
      </c>
      <c r="P65" s="55" t="s">
        <v>141</v>
      </c>
    </row>
    <row r="66" spans="1:16" ht="12.75" customHeight="1" thickBot="1">
      <c r="A66" s="9" t="str">
        <f t="shared" si="6"/>
        <v> MSAI 37.260 </v>
      </c>
      <c r="B66" s="16" t="str">
        <f t="shared" si="7"/>
        <v>I</v>
      </c>
      <c r="C66" s="9">
        <f t="shared" si="8"/>
        <v>37641.207999999999</v>
      </c>
      <c r="D66" s="13" t="str">
        <f t="shared" si="9"/>
        <v>vis</v>
      </c>
      <c r="E66" s="52">
        <f>VLOOKUP(C66,Active!C$21:E$971,3,FALSE)</f>
        <v>2265.9571010027094</v>
      </c>
      <c r="F66" s="16" t="s">
        <v>63</v>
      </c>
      <c r="G66" s="13" t="str">
        <f t="shared" si="10"/>
        <v>37641.208</v>
      </c>
      <c r="H66" s="9">
        <f t="shared" si="11"/>
        <v>2266</v>
      </c>
      <c r="I66" s="53" t="s">
        <v>182</v>
      </c>
      <c r="J66" s="54" t="s">
        <v>183</v>
      </c>
      <c r="K66" s="53">
        <v>2266</v>
      </c>
      <c r="L66" s="53" t="s">
        <v>184</v>
      </c>
      <c r="M66" s="54" t="s">
        <v>70</v>
      </c>
      <c r="N66" s="54"/>
      <c r="O66" s="55" t="s">
        <v>140</v>
      </c>
      <c r="P66" s="55" t="s">
        <v>141</v>
      </c>
    </row>
    <row r="67" spans="1:16" ht="12.75" customHeight="1" thickBot="1">
      <c r="A67" s="9" t="str">
        <f t="shared" si="6"/>
        <v> MSAI 37.260 </v>
      </c>
      <c r="B67" s="16" t="str">
        <f t="shared" si="7"/>
        <v>I</v>
      </c>
      <c r="C67" s="9">
        <f t="shared" si="8"/>
        <v>37659.22</v>
      </c>
      <c r="D67" s="13" t="str">
        <f t="shared" si="9"/>
        <v>vis</v>
      </c>
      <c r="E67" s="52">
        <f>VLOOKUP(C67,Active!C$21:E$971,3,FALSE)</f>
        <v>2277.0041478557559</v>
      </c>
      <c r="F67" s="16" t="s">
        <v>63</v>
      </c>
      <c r="G67" s="13" t="str">
        <f t="shared" si="10"/>
        <v>37659.220</v>
      </c>
      <c r="H67" s="9">
        <f t="shared" si="11"/>
        <v>2277</v>
      </c>
      <c r="I67" s="53" t="s">
        <v>185</v>
      </c>
      <c r="J67" s="54" t="s">
        <v>186</v>
      </c>
      <c r="K67" s="53">
        <v>2277</v>
      </c>
      <c r="L67" s="53" t="s">
        <v>187</v>
      </c>
      <c r="M67" s="54" t="s">
        <v>70</v>
      </c>
      <c r="N67" s="54"/>
      <c r="O67" s="55" t="s">
        <v>140</v>
      </c>
      <c r="P67" s="55" t="s">
        <v>141</v>
      </c>
    </row>
    <row r="68" spans="1:16" ht="12.75" customHeight="1" thickBot="1">
      <c r="A68" s="9" t="str">
        <f t="shared" si="6"/>
        <v> MSAI 37.260 </v>
      </c>
      <c r="B68" s="16" t="str">
        <f t="shared" si="7"/>
        <v>I</v>
      </c>
      <c r="C68" s="9">
        <f t="shared" si="8"/>
        <v>37928.31</v>
      </c>
      <c r="D68" s="13" t="str">
        <f t="shared" si="9"/>
        <v>vis</v>
      </c>
      <c r="E68" s="52">
        <f>VLOOKUP(C68,Active!C$21:E$971,3,FALSE)</f>
        <v>2442.041336268253</v>
      </c>
      <c r="F68" s="16" t="s">
        <v>63</v>
      </c>
      <c r="G68" s="13" t="str">
        <f t="shared" si="10"/>
        <v>37928.310</v>
      </c>
      <c r="H68" s="9">
        <f t="shared" si="11"/>
        <v>2442</v>
      </c>
      <c r="I68" s="53" t="s">
        <v>188</v>
      </c>
      <c r="J68" s="54" t="s">
        <v>189</v>
      </c>
      <c r="K68" s="53">
        <v>2442</v>
      </c>
      <c r="L68" s="53" t="s">
        <v>190</v>
      </c>
      <c r="M68" s="54" t="s">
        <v>70</v>
      </c>
      <c r="N68" s="54"/>
      <c r="O68" s="55" t="s">
        <v>140</v>
      </c>
      <c r="P68" s="55" t="s">
        <v>141</v>
      </c>
    </row>
    <row r="69" spans="1:16" ht="12.75" customHeight="1" thickBot="1">
      <c r="A69" s="9" t="str">
        <f t="shared" si="6"/>
        <v> MSAI 37.260 </v>
      </c>
      <c r="B69" s="16" t="str">
        <f t="shared" si="7"/>
        <v>I</v>
      </c>
      <c r="C69" s="9">
        <f t="shared" si="8"/>
        <v>38316.32</v>
      </c>
      <c r="D69" s="13" t="str">
        <f t="shared" si="9"/>
        <v>vis</v>
      </c>
      <c r="E69" s="52">
        <f>VLOOKUP(C69,Active!C$21:E$971,3,FALSE)</f>
        <v>2680.0140572015248</v>
      </c>
      <c r="F69" s="16" t="s">
        <v>63</v>
      </c>
      <c r="G69" s="13" t="str">
        <f t="shared" si="10"/>
        <v>38316.320</v>
      </c>
      <c r="H69" s="9">
        <f t="shared" si="11"/>
        <v>2680</v>
      </c>
      <c r="I69" s="53" t="s">
        <v>191</v>
      </c>
      <c r="J69" s="54" t="s">
        <v>192</v>
      </c>
      <c r="K69" s="53">
        <v>2680</v>
      </c>
      <c r="L69" s="53" t="s">
        <v>193</v>
      </c>
      <c r="M69" s="54" t="s">
        <v>70</v>
      </c>
      <c r="N69" s="54"/>
      <c r="O69" s="55" t="s">
        <v>140</v>
      </c>
      <c r="P69" s="55" t="s">
        <v>141</v>
      </c>
    </row>
    <row r="70" spans="1:16" ht="12.75" customHeight="1" thickBot="1">
      <c r="A70" s="9" t="str">
        <f t="shared" si="6"/>
        <v> AOEB 8 </v>
      </c>
      <c r="B70" s="16" t="str">
        <f t="shared" si="7"/>
        <v>I</v>
      </c>
      <c r="C70" s="9">
        <f t="shared" si="8"/>
        <v>43096.864000000001</v>
      </c>
      <c r="D70" s="13" t="str">
        <f t="shared" si="9"/>
        <v>vis</v>
      </c>
      <c r="E70" s="52">
        <f>VLOOKUP(C70,Active!C$21:E$971,3,FALSE)</f>
        <v>5611.9979318986243</v>
      </c>
      <c r="F70" s="16" t="s">
        <v>63</v>
      </c>
      <c r="G70" s="13" t="str">
        <f t="shared" si="10"/>
        <v>43096.864</v>
      </c>
      <c r="H70" s="9">
        <f t="shared" si="11"/>
        <v>5612</v>
      </c>
      <c r="I70" s="53" t="s">
        <v>194</v>
      </c>
      <c r="J70" s="54" t="s">
        <v>195</v>
      </c>
      <c r="K70" s="53">
        <v>5612</v>
      </c>
      <c r="L70" s="53" t="s">
        <v>65</v>
      </c>
      <c r="M70" s="54" t="s">
        <v>196</v>
      </c>
      <c r="N70" s="54"/>
      <c r="O70" s="55" t="s">
        <v>197</v>
      </c>
      <c r="P70" s="55" t="s">
        <v>198</v>
      </c>
    </row>
    <row r="71" spans="1:16" ht="12.75" customHeight="1" thickBot="1">
      <c r="A71" s="9" t="str">
        <f t="shared" si="6"/>
        <v> AOEB 8 </v>
      </c>
      <c r="B71" s="16" t="str">
        <f t="shared" si="7"/>
        <v>I</v>
      </c>
      <c r="C71" s="9">
        <f t="shared" si="8"/>
        <v>43096.868000000002</v>
      </c>
      <c r="D71" s="13" t="str">
        <f t="shared" si="9"/>
        <v>vis</v>
      </c>
      <c r="E71" s="52">
        <f>VLOOKUP(C71,Active!C$21:E$971,3,FALSE)</f>
        <v>5612.000385162416</v>
      </c>
      <c r="F71" s="16" t="s">
        <v>63</v>
      </c>
      <c r="G71" s="13" t="str">
        <f t="shared" si="10"/>
        <v>43096.868</v>
      </c>
      <c r="H71" s="9">
        <f t="shared" si="11"/>
        <v>5612</v>
      </c>
      <c r="I71" s="53" t="s">
        <v>199</v>
      </c>
      <c r="J71" s="54" t="s">
        <v>200</v>
      </c>
      <c r="K71" s="53">
        <v>5612</v>
      </c>
      <c r="L71" s="53" t="s">
        <v>163</v>
      </c>
      <c r="M71" s="54" t="s">
        <v>196</v>
      </c>
      <c r="N71" s="54"/>
      <c r="O71" s="55" t="s">
        <v>201</v>
      </c>
      <c r="P71" s="55" t="s">
        <v>198</v>
      </c>
    </row>
    <row r="72" spans="1:16" ht="12.75" customHeight="1" thickBot="1">
      <c r="A72" s="9" t="str">
        <f t="shared" si="6"/>
        <v> AOEB 8 </v>
      </c>
      <c r="B72" s="16" t="str">
        <f t="shared" si="7"/>
        <v>I</v>
      </c>
      <c r="C72" s="9">
        <f t="shared" si="8"/>
        <v>43326.771999999997</v>
      </c>
      <c r="D72" s="13" t="str">
        <f t="shared" si="9"/>
        <v>vis</v>
      </c>
      <c r="E72" s="52">
        <f>VLOOKUP(C72,Active!C$21:E$971,3,FALSE)</f>
        <v>5753.0041748416552</v>
      </c>
      <c r="F72" s="16" t="s">
        <v>63</v>
      </c>
      <c r="G72" s="13" t="str">
        <f t="shared" si="10"/>
        <v>43326.772</v>
      </c>
      <c r="H72" s="9">
        <f t="shared" si="11"/>
        <v>5753</v>
      </c>
      <c r="I72" s="53" t="s">
        <v>202</v>
      </c>
      <c r="J72" s="54" t="s">
        <v>203</v>
      </c>
      <c r="K72" s="53">
        <v>5753</v>
      </c>
      <c r="L72" s="53" t="s">
        <v>187</v>
      </c>
      <c r="M72" s="54" t="s">
        <v>196</v>
      </c>
      <c r="N72" s="54"/>
      <c r="O72" s="55" t="s">
        <v>204</v>
      </c>
      <c r="P72" s="55" t="s">
        <v>198</v>
      </c>
    </row>
    <row r="73" spans="1:16" ht="12.75" customHeight="1" thickBot="1">
      <c r="A73" s="9" t="str">
        <f t="shared" si="6"/>
        <v> AOEB 8 </v>
      </c>
      <c r="B73" s="16" t="str">
        <f t="shared" si="7"/>
        <v>I</v>
      </c>
      <c r="C73" s="9">
        <f t="shared" si="8"/>
        <v>43701.771000000001</v>
      </c>
      <c r="D73" s="13" t="str">
        <f t="shared" si="9"/>
        <v>vis</v>
      </c>
      <c r="E73" s="52">
        <f>VLOOKUP(C73,Active!C$21:E$971,3,FALSE)</f>
        <v>5982.9970419771835</v>
      </c>
      <c r="F73" s="16" t="s">
        <v>63</v>
      </c>
      <c r="G73" s="13" t="str">
        <f t="shared" si="10"/>
        <v>43701.771</v>
      </c>
      <c r="H73" s="9">
        <f t="shared" si="11"/>
        <v>5983</v>
      </c>
      <c r="I73" s="53" t="s">
        <v>205</v>
      </c>
      <c r="J73" s="54" t="s">
        <v>206</v>
      </c>
      <c r="K73" s="53">
        <v>5983</v>
      </c>
      <c r="L73" s="53" t="s">
        <v>99</v>
      </c>
      <c r="M73" s="54" t="s">
        <v>196</v>
      </c>
      <c r="N73" s="54"/>
      <c r="O73" s="55" t="s">
        <v>204</v>
      </c>
      <c r="P73" s="55" t="s">
        <v>198</v>
      </c>
    </row>
    <row r="74" spans="1:16" ht="12.75" customHeight="1" thickBot="1">
      <c r="A74" s="9" t="str">
        <f t="shared" si="6"/>
        <v> AOEB 8 </v>
      </c>
      <c r="B74" s="16" t="str">
        <f t="shared" si="7"/>
        <v>I</v>
      </c>
      <c r="C74" s="9">
        <f t="shared" si="8"/>
        <v>44081.694000000003</v>
      </c>
      <c r="D74" s="13" t="str">
        <f t="shared" si="9"/>
        <v>vis</v>
      </c>
      <c r="E74" s="52">
        <f>VLOOKUP(C74,Active!C$21:E$971,3,FALSE)</f>
        <v>6216.0098768400258</v>
      </c>
      <c r="F74" s="16" t="s">
        <v>63</v>
      </c>
      <c r="G74" s="13" t="str">
        <f t="shared" si="10"/>
        <v>44081.694</v>
      </c>
      <c r="H74" s="9">
        <f t="shared" si="11"/>
        <v>6216</v>
      </c>
      <c r="I74" s="53" t="s">
        <v>207</v>
      </c>
      <c r="J74" s="54" t="s">
        <v>208</v>
      </c>
      <c r="K74" s="53">
        <v>6216</v>
      </c>
      <c r="L74" s="53" t="s">
        <v>209</v>
      </c>
      <c r="M74" s="54" t="s">
        <v>196</v>
      </c>
      <c r="N74" s="54"/>
      <c r="O74" s="55" t="s">
        <v>204</v>
      </c>
      <c r="P74" s="55" t="s">
        <v>198</v>
      </c>
    </row>
    <row r="75" spans="1:16" ht="12.75" customHeight="1" thickBot="1">
      <c r="A75" s="9" t="str">
        <f t="shared" ref="A75:A89" si="12">P75</f>
        <v> AOEB 8 </v>
      </c>
      <c r="B75" s="16" t="str">
        <f t="shared" ref="B75:B89" si="13">IF(H75=INT(H75),"I","II")</f>
        <v>I</v>
      </c>
      <c r="C75" s="9">
        <f t="shared" ref="C75:C89" si="14">1*G75</f>
        <v>44593.656999999999</v>
      </c>
      <c r="D75" s="13" t="str">
        <f t="shared" ref="D75:D89" si="15">VLOOKUP(F75,I$1:J$5,2,FALSE)</f>
        <v>vis</v>
      </c>
      <c r="E75" s="52">
        <f>VLOOKUP(C75,Active!C$21:E$971,3,FALSE)</f>
        <v>6530.0049494596988</v>
      </c>
      <c r="F75" s="16" t="s">
        <v>63</v>
      </c>
      <c r="G75" s="13" t="str">
        <f t="shared" ref="G75:G89" si="16">MID(I75,3,LEN(I75)-3)</f>
        <v>44593.657</v>
      </c>
      <c r="H75" s="9">
        <f t="shared" ref="H75:H89" si="17">1*K75</f>
        <v>6530</v>
      </c>
      <c r="I75" s="53" t="s">
        <v>210</v>
      </c>
      <c r="J75" s="54" t="s">
        <v>211</v>
      </c>
      <c r="K75" s="53">
        <v>6530</v>
      </c>
      <c r="L75" s="53" t="s">
        <v>212</v>
      </c>
      <c r="M75" s="54" t="s">
        <v>196</v>
      </c>
      <c r="N75" s="54"/>
      <c r="O75" s="55" t="s">
        <v>204</v>
      </c>
      <c r="P75" s="55" t="s">
        <v>198</v>
      </c>
    </row>
    <row r="76" spans="1:16" ht="12.75" customHeight="1" thickBot="1">
      <c r="A76" s="9" t="str">
        <f t="shared" si="12"/>
        <v> AOEB 8 </v>
      </c>
      <c r="B76" s="16" t="str">
        <f t="shared" si="13"/>
        <v>I</v>
      </c>
      <c r="C76" s="9">
        <f t="shared" si="14"/>
        <v>45193.678</v>
      </c>
      <c r="D76" s="13" t="str">
        <f t="shared" si="15"/>
        <v>vis</v>
      </c>
      <c r="E76" s="52">
        <f>VLOOKUP(C76,Active!C$21:E$971,3,FALSE)</f>
        <v>6898.007397816963</v>
      </c>
      <c r="F76" s="16" t="s">
        <v>63</v>
      </c>
      <c r="G76" s="13" t="str">
        <f t="shared" si="16"/>
        <v>45193.678</v>
      </c>
      <c r="H76" s="9">
        <f t="shared" si="17"/>
        <v>6898</v>
      </c>
      <c r="I76" s="53" t="s">
        <v>213</v>
      </c>
      <c r="J76" s="54" t="s">
        <v>214</v>
      </c>
      <c r="K76" s="53">
        <v>6898</v>
      </c>
      <c r="L76" s="53" t="s">
        <v>215</v>
      </c>
      <c r="M76" s="54" t="s">
        <v>196</v>
      </c>
      <c r="N76" s="54"/>
      <c r="O76" s="55" t="s">
        <v>204</v>
      </c>
      <c r="P76" s="55" t="s">
        <v>198</v>
      </c>
    </row>
    <row r="77" spans="1:16" ht="12.75" customHeight="1" thickBot="1">
      <c r="A77" s="9" t="str">
        <f t="shared" si="12"/>
        <v> AOEB 8 </v>
      </c>
      <c r="B77" s="16" t="str">
        <f t="shared" si="13"/>
        <v>I</v>
      </c>
      <c r="C77" s="9">
        <f t="shared" si="14"/>
        <v>45643.686999999998</v>
      </c>
      <c r="D77" s="13" t="str">
        <f t="shared" si="15"/>
        <v>vis</v>
      </c>
      <c r="E77" s="52">
        <f>VLOOKUP(C77,Active!C$21:E$971,3,FALSE)</f>
        <v>7174.0050942022617</v>
      </c>
      <c r="F77" s="16" t="s">
        <v>63</v>
      </c>
      <c r="G77" s="13" t="str">
        <f t="shared" si="16"/>
        <v>45643.687</v>
      </c>
      <c r="H77" s="9">
        <f t="shared" si="17"/>
        <v>7174</v>
      </c>
      <c r="I77" s="53" t="s">
        <v>216</v>
      </c>
      <c r="J77" s="54" t="s">
        <v>217</v>
      </c>
      <c r="K77" s="53">
        <v>7174</v>
      </c>
      <c r="L77" s="53" t="s">
        <v>212</v>
      </c>
      <c r="M77" s="54" t="s">
        <v>196</v>
      </c>
      <c r="N77" s="54"/>
      <c r="O77" s="55" t="s">
        <v>204</v>
      </c>
      <c r="P77" s="55" t="s">
        <v>198</v>
      </c>
    </row>
    <row r="78" spans="1:16" ht="12.75" customHeight="1" thickBot="1">
      <c r="A78" s="9" t="str">
        <f t="shared" si="12"/>
        <v> AOEB 8 </v>
      </c>
      <c r="B78" s="16" t="str">
        <f t="shared" si="13"/>
        <v>I</v>
      </c>
      <c r="C78" s="9">
        <f t="shared" si="14"/>
        <v>46804.607000000004</v>
      </c>
      <c r="D78" s="13" t="str">
        <f t="shared" si="15"/>
        <v>vis</v>
      </c>
      <c r="E78" s="52">
        <f>VLOOKUP(C78,Active!C$21:E$971,3,FALSE)</f>
        <v>7886.015844404199</v>
      </c>
      <c r="F78" s="16" t="s">
        <v>63</v>
      </c>
      <c r="G78" s="13" t="str">
        <f t="shared" si="16"/>
        <v>46804.607</v>
      </c>
      <c r="H78" s="9">
        <f t="shared" si="17"/>
        <v>7886</v>
      </c>
      <c r="I78" s="53" t="s">
        <v>218</v>
      </c>
      <c r="J78" s="54" t="s">
        <v>219</v>
      </c>
      <c r="K78" s="53">
        <v>7886</v>
      </c>
      <c r="L78" s="53" t="s">
        <v>160</v>
      </c>
      <c r="M78" s="54" t="s">
        <v>196</v>
      </c>
      <c r="N78" s="54"/>
      <c r="O78" s="55" t="s">
        <v>204</v>
      </c>
      <c r="P78" s="55" t="s">
        <v>198</v>
      </c>
    </row>
    <row r="79" spans="1:16" ht="12.75" customHeight="1" thickBot="1">
      <c r="A79" s="9" t="str">
        <f t="shared" si="12"/>
        <v> AOEB 8 </v>
      </c>
      <c r="B79" s="16" t="str">
        <f t="shared" si="13"/>
        <v>I</v>
      </c>
      <c r="C79" s="9">
        <f t="shared" si="14"/>
        <v>47681.792000000001</v>
      </c>
      <c r="D79" s="13" t="str">
        <f t="shared" si="15"/>
        <v>vis</v>
      </c>
      <c r="E79" s="52">
        <f>VLOOKUP(C79,Active!C$21:E$971,3,FALSE)</f>
        <v>8424.0073941370683</v>
      </c>
      <c r="F79" s="16" t="s">
        <v>63</v>
      </c>
      <c r="G79" s="13" t="str">
        <f t="shared" si="16"/>
        <v>47681.792</v>
      </c>
      <c r="H79" s="9">
        <f t="shared" si="17"/>
        <v>8424</v>
      </c>
      <c r="I79" s="53" t="s">
        <v>220</v>
      </c>
      <c r="J79" s="54" t="s">
        <v>221</v>
      </c>
      <c r="K79" s="53">
        <v>8424</v>
      </c>
      <c r="L79" s="53" t="s">
        <v>215</v>
      </c>
      <c r="M79" s="54" t="s">
        <v>196</v>
      </c>
      <c r="N79" s="54"/>
      <c r="O79" s="55" t="s">
        <v>204</v>
      </c>
      <c r="P79" s="55" t="s">
        <v>198</v>
      </c>
    </row>
    <row r="80" spans="1:16" ht="12.75" customHeight="1" thickBot="1">
      <c r="A80" s="9" t="str">
        <f t="shared" si="12"/>
        <v> AOEB 8 </v>
      </c>
      <c r="B80" s="16" t="str">
        <f t="shared" si="13"/>
        <v>I</v>
      </c>
      <c r="C80" s="9">
        <f t="shared" si="14"/>
        <v>51842.811999999998</v>
      </c>
      <c r="D80" s="13" t="str">
        <f t="shared" si="15"/>
        <v>vis</v>
      </c>
      <c r="E80" s="52">
        <f>VLOOKUP(C80,Active!C$21:E$971,3,FALSE)</f>
        <v>10976.027319545579</v>
      </c>
      <c r="F80" s="16" t="s">
        <v>63</v>
      </c>
      <c r="G80" s="13" t="str">
        <f t="shared" si="16"/>
        <v>51842.812</v>
      </c>
      <c r="H80" s="9">
        <f t="shared" si="17"/>
        <v>10976</v>
      </c>
      <c r="I80" s="53" t="s">
        <v>245</v>
      </c>
      <c r="J80" s="54" t="s">
        <v>246</v>
      </c>
      <c r="K80" s="53">
        <v>10976</v>
      </c>
      <c r="L80" s="53" t="s">
        <v>247</v>
      </c>
      <c r="M80" s="54" t="s">
        <v>196</v>
      </c>
      <c r="N80" s="54"/>
      <c r="O80" s="55" t="s">
        <v>248</v>
      </c>
      <c r="P80" s="55" t="s">
        <v>198</v>
      </c>
    </row>
    <row r="81" spans="1:16" ht="12.75" customHeight="1" thickBot="1">
      <c r="A81" s="9" t="str">
        <f t="shared" si="12"/>
        <v> AOEB 8 </v>
      </c>
      <c r="B81" s="16" t="str">
        <f t="shared" si="13"/>
        <v>I</v>
      </c>
      <c r="C81" s="9">
        <f t="shared" si="14"/>
        <v>52245.5409</v>
      </c>
      <c r="D81" s="13" t="str">
        <f t="shared" si="15"/>
        <v>vis</v>
      </c>
      <c r="E81" s="52">
        <f>VLOOKUP(C81,Active!C$21:E$971,3,FALSE)</f>
        <v>11223.027376583965</v>
      </c>
      <c r="F81" s="16" t="s">
        <v>63</v>
      </c>
      <c r="G81" s="13" t="str">
        <f t="shared" si="16"/>
        <v>52245.5409</v>
      </c>
      <c r="H81" s="9">
        <f t="shared" si="17"/>
        <v>11223</v>
      </c>
      <c r="I81" s="53" t="s">
        <v>249</v>
      </c>
      <c r="J81" s="54" t="s">
        <v>250</v>
      </c>
      <c r="K81" s="53">
        <v>11223</v>
      </c>
      <c r="L81" s="53" t="s">
        <v>251</v>
      </c>
      <c r="M81" s="54" t="s">
        <v>252</v>
      </c>
      <c r="N81" s="54" t="s">
        <v>253</v>
      </c>
      <c r="O81" s="55" t="s">
        <v>204</v>
      </c>
      <c r="P81" s="55" t="s">
        <v>198</v>
      </c>
    </row>
    <row r="82" spans="1:16" ht="12.75" customHeight="1" thickBot="1">
      <c r="A82" s="9" t="str">
        <f t="shared" si="12"/>
        <v> AOEB 8 </v>
      </c>
      <c r="B82" s="16" t="str">
        <f t="shared" si="13"/>
        <v>I</v>
      </c>
      <c r="C82" s="9">
        <f t="shared" si="14"/>
        <v>52602.619200000001</v>
      </c>
      <c r="D82" s="13" t="str">
        <f t="shared" si="15"/>
        <v>vis</v>
      </c>
      <c r="E82" s="52">
        <f>VLOOKUP(C82,Active!C$21:E$971,3,FALSE)</f>
        <v>11442.029192612486</v>
      </c>
      <c r="F82" s="16" t="s">
        <v>63</v>
      </c>
      <c r="G82" s="13" t="str">
        <f t="shared" si="16"/>
        <v>52602.6192</v>
      </c>
      <c r="H82" s="9">
        <f t="shared" si="17"/>
        <v>11442</v>
      </c>
      <c r="I82" s="53" t="s">
        <v>254</v>
      </c>
      <c r="J82" s="54" t="s">
        <v>255</v>
      </c>
      <c r="K82" s="53">
        <v>11442</v>
      </c>
      <c r="L82" s="53" t="s">
        <v>256</v>
      </c>
      <c r="M82" s="54" t="s">
        <v>252</v>
      </c>
      <c r="N82" s="54" t="s">
        <v>253</v>
      </c>
      <c r="O82" s="55" t="s">
        <v>257</v>
      </c>
      <c r="P82" s="55" t="s">
        <v>198</v>
      </c>
    </row>
    <row r="83" spans="1:16" ht="12.75" customHeight="1" thickBot="1">
      <c r="A83" s="9" t="str">
        <f t="shared" si="12"/>
        <v> AOEB 8 </v>
      </c>
      <c r="B83" s="16" t="str">
        <f t="shared" si="13"/>
        <v>I</v>
      </c>
      <c r="C83" s="9">
        <f t="shared" si="14"/>
        <v>52620.552600000003</v>
      </c>
      <c r="D83" s="13" t="str">
        <f t="shared" si="15"/>
        <v>vis</v>
      </c>
      <c r="E83" s="52">
        <f>VLOOKUP(C83,Active!C$21:E$971,3,FALSE)</f>
        <v>11453.02803283203</v>
      </c>
      <c r="F83" s="16" t="s">
        <v>63</v>
      </c>
      <c r="G83" s="13" t="str">
        <f t="shared" si="16"/>
        <v>52620.5526</v>
      </c>
      <c r="H83" s="9">
        <f t="shared" si="17"/>
        <v>11453</v>
      </c>
      <c r="I83" s="53" t="s">
        <v>258</v>
      </c>
      <c r="J83" s="54" t="s">
        <v>259</v>
      </c>
      <c r="K83" s="53">
        <v>11453</v>
      </c>
      <c r="L83" s="53" t="s">
        <v>260</v>
      </c>
      <c r="M83" s="54" t="s">
        <v>252</v>
      </c>
      <c r="N83" s="54" t="s">
        <v>253</v>
      </c>
      <c r="O83" s="55" t="s">
        <v>261</v>
      </c>
      <c r="P83" s="55" t="s">
        <v>198</v>
      </c>
    </row>
    <row r="84" spans="1:16" ht="12.75" customHeight="1" thickBot="1">
      <c r="A84" s="9" t="str">
        <f t="shared" si="12"/>
        <v> AOEB 12 </v>
      </c>
      <c r="B84" s="16" t="str">
        <f t="shared" si="13"/>
        <v>I</v>
      </c>
      <c r="C84" s="9">
        <f t="shared" si="14"/>
        <v>53197.744200000001</v>
      </c>
      <c r="D84" s="13" t="str">
        <f t="shared" si="15"/>
        <v>vis</v>
      </c>
      <c r="E84" s="52">
        <f>VLOOKUP(C84,Active!C$21:E$971,3,FALSE)</f>
        <v>11807.028846088977</v>
      </c>
      <c r="F84" s="16" t="s">
        <v>63</v>
      </c>
      <c r="G84" s="13" t="str">
        <f t="shared" si="16"/>
        <v>53197.7442</v>
      </c>
      <c r="H84" s="9">
        <f t="shared" si="17"/>
        <v>11807</v>
      </c>
      <c r="I84" s="53" t="s">
        <v>262</v>
      </c>
      <c r="J84" s="54" t="s">
        <v>263</v>
      </c>
      <c r="K84" s="53">
        <v>11807</v>
      </c>
      <c r="L84" s="53" t="s">
        <v>264</v>
      </c>
      <c r="M84" s="54" t="s">
        <v>252</v>
      </c>
      <c r="N84" s="54" t="s">
        <v>253</v>
      </c>
      <c r="O84" s="55" t="s">
        <v>265</v>
      </c>
      <c r="P84" s="55" t="s">
        <v>266</v>
      </c>
    </row>
    <row r="85" spans="1:16" ht="12.75" customHeight="1" thickBot="1">
      <c r="A85" s="9" t="str">
        <f t="shared" si="12"/>
        <v> AOEB 12 </v>
      </c>
      <c r="B85" s="16" t="str">
        <f t="shared" si="13"/>
        <v>I</v>
      </c>
      <c r="C85" s="9">
        <f t="shared" si="14"/>
        <v>53890.701699999998</v>
      </c>
      <c r="D85" s="13" t="str">
        <f t="shared" si="15"/>
        <v>vis</v>
      </c>
      <c r="E85" s="52">
        <f>VLOOKUP(C85,Active!C$21:E$971,3,FALSE)</f>
        <v>12232.030732035513</v>
      </c>
      <c r="F85" s="16" t="s">
        <v>63</v>
      </c>
      <c r="G85" s="13" t="str">
        <f t="shared" si="16"/>
        <v>53890.7017</v>
      </c>
      <c r="H85" s="9">
        <f t="shared" si="17"/>
        <v>12232</v>
      </c>
      <c r="I85" s="53" t="s">
        <v>267</v>
      </c>
      <c r="J85" s="54" t="s">
        <v>268</v>
      </c>
      <c r="K85" s="53">
        <v>12232</v>
      </c>
      <c r="L85" s="53" t="s">
        <v>269</v>
      </c>
      <c r="M85" s="54" t="s">
        <v>252</v>
      </c>
      <c r="N85" s="54" t="s">
        <v>253</v>
      </c>
      <c r="O85" s="55" t="s">
        <v>204</v>
      </c>
      <c r="P85" s="55" t="s">
        <v>266</v>
      </c>
    </row>
    <row r="86" spans="1:16" ht="12.75" customHeight="1" thickBot="1">
      <c r="A86" s="9" t="str">
        <f t="shared" si="12"/>
        <v> AOEB 12 </v>
      </c>
      <c r="B86" s="16" t="str">
        <f t="shared" si="13"/>
        <v>I</v>
      </c>
      <c r="C86" s="9">
        <f t="shared" si="14"/>
        <v>54260.822399999997</v>
      </c>
      <c r="D86" s="13" t="str">
        <f t="shared" si="15"/>
        <v>vis</v>
      </c>
      <c r="E86" s="52">
        <f>VLOOKUP(C86,Active!C$21:E$971,3,FALSE)</f>
        <v>12459.031659982542</v>
      </c>
      <c r="F86" s="16" t="s">
        <v>63</v>
      </c>
      <c r="G86" s="13" t="str">
        <f t="shared" si="16"/>
        <v>54260.8224</v>
      </c>
      <c r="H86" s="9">
        <f t="shared" si="17"/>
        <v>12459</v>
      </c>
      <c r="I86" s="53" t="s">
        <v>275</v>
      </c>
      <c r="J86" s="54" t="s">
        <v>276</v>
      </c>
      <c r="K86" s="53">
        <v>12459</v>
      </c>
      <c r="L86" s="53" t="s">
        <v>277</v>
      </c>
      <c r="M86" s="54" t="s">
        <v>252</v>
      </c>
      <c r="N86" s="54" t="s">
        <v>253</v>
      </c>
      <c r="O86" s="55" t="s">
        <v>204</v>
      </c>
      <c r="P86" s="55" t="s">
        <v>266</v>
      </c>
    </row>
    <row r="87" spans="1:16" ht="12.75" customHeight="1" thickBot="1">
      <c r="A87" s="9" t="str">
        <f t="shared" si="12"/>
        <v> AOEB 12 </v>
      </c>
      <c r="B87" s="16" t="str">
        <f t="shared" si="13"/>
        <v>I</v>
      </c>
      <c r="C87" s="9">
        <f t="shared" si="14"/>
        <v>54296.692199999998</v>
      </c>
      <c r="D87" s="13" t="str">
        <f t="shared" si="15"/>
        <v>vis</v>
      </c>
      <c r="E87" s="52">
        <f>VLOOKUP(C87,Active!C$21:E$971,3,FALSE)</f>
        <v>12481.031180369471</v>
      </c>
      <c r="F87" s="16" t="s">
        <v>63</v>
      </c>
      <c r="G87" s="13" t="str">
        <f t="shared" si="16"/>
        <v>54296.6922</v>
      </c>
      <c r="H87" s="9">
        <f t="shared" si="17"/>
        <v>12481</v>
      </c>
      <c r="I87" s="53" t="s">
        <v>278</v>
      </c>
      <c r="J87" s="54" t="s">
        <v>279</v>
      </c>
      <c r="K87" s="53">
        <v>12481</v>
      </c>
      <c r="L87" s="53" t="s">
        <v>280</v>
      </c>
      <c r="M87" s="54" t="s">
        <v>252</v>
      </c>
      <c r="N87" s="54" t="s">
        <v>253</v>
      </c>
      <c r="O87" s="55" t="s">
        <v>204</v>
      </c>
      <c r="P87" s="55" t="s">
        <v>266</v>
      </c>
    </row>
    <row r="88" spans="1:16" ht="12.75" customHeight="1" thickBot="1">
      <c r="A88" s="9" t="str">
        <f t="shared" si="12"/>
        <v>BAVM 225 </v>
      </c>
      <c r="B88" s="16" t="str">
        <f t="shared" si="13"/>
        <v>II</v>
      </c>
      <c r="C88" s="9">
        <f t="shared" si="14"/>
        <v>55802.445500000002</v>
      </c>
      <c r="D88" s="13" t="str">
        <f t="shared" si="15"/>
        <v>vis</v>
      </c>
      <c r="E88" s="52">
        <f>VLOOKUP(C88,Active!C$21:E$971,3,FALSE)</f>
        <v>13404.533692818255</v>
      </c>
      <c r="F88" s="16" t="s">
        <v>63</v>
      </c>
      <c r="G88" s="13" t="str">
        <f t="shared" si="16"/>
        <v>55802.4455</v>
      </c>
      <c r="H88" s="9">
        <f t="shared" si="17"/>
        <v>13404.5</v>
      </c>
      <c r="I88" s="53" t="s">
        <v>317</v>
      </c>
      <c r="J88" s="54" t="s">
        <v>318</v>
      </c>
      <c r="K88" s="53" t="s">
        <v>319</v>
      </c>
      <c r="L88" s="53" t="s">
        <v>320</v>
      </c>
      <c r="M88" s="54" t="s">
        <v>252</v>
      </c>
      <c r="N88" s="54" t="s">
        <v>315</v>
      </c>
      <c r="O88" s="55" t="s">
        <v>316</v>
      </c>
      <c r="P88" s="56" t="s">
        <v>321</v>
      </c>
    </row>
    <row r="89" spans="1:16" ht="12.75" customHeight="1" thickBot="1">
      <c r="A89" s="9" t="str">
        <f t="shared" si="12"/>
        <v> JAAVSO 41;122 </v>
      </c>
      <c r="B89" s="16" t="str">
        <f t="shared" si="13"/>
        <v>I</v>
      </c>
      <c r="C89" s="9">
        <f t="shared" si="14"/>
        <v>56153.8171</v>
      </c>
      <c r="D89" s="13" t="str">
        <f t="shared" si="15"/>
        <v>vis</v>
      </c>
      <c r="E89" s="52" t="e">
        <f>VLOOKUP(C89,Active!C$21:E$971,3,FALSE)</f>
        <v>#N/A</v>
      </c>
      <c r="F89" s="16" t="s">
        <v>63</v>
      </c>
      <c r="G89" s="13" t="str">
        <f t="shared" si="16"/>
        <v>56153.8171</v>
      </c>
      <c r="H89" s="9">
        <f t="shared" si="17"/>
        <v>13620</v>
      </c>
      <c r="I89" s="53" t="s">
        <v>322</v>
      </c>
      <c r="J89" s="54" t="s">
        <v>323</v>
      </c>
      <c r="K89" s="53" t="s">
        <v>324</v>
      </c>
      <c r="L89" s="53" t="s">
        <v>325</v>
      </c>
      <c r="M89" s="54" t="s">
        <v>252</v>
      </c>
      <c r="N89" s="54" t="s">
        <v>63</v>
      </c>
      <c r="O89" s="55" t="s">
        <v>326</v>
      </c>
      <c r="P89" s="55" t="s">
        <v>327</v>
      </c>
    </row>
    <row r="90" spans="1:16">
      <c r="B90" s="16"/>
      <c r="F90" s="16"/>
    </row>
    <row r="91" spans="1:16">
      <c r="B91" s="16"/>
      <c r="F91" s="16"/>
    </row>
    <row r="92" spans="1:16">
      <c r="B92" s="16"/>
      <c r="F92" s="16"/>
    </row>
    <row r="93" spans="1:16">
      <c r="B93" s="16"/>
      <c r="F93" s="16"/>
    </row>
    <row r="94" spans="1:16">
      <c r="B94" s="16"/>
      <c r="F94" s="16"/>
    </row>
    <row r="95" spans="1:16">
      <c r="B95" s="16"/>
      <c r="F95" s="16"/>
    </row>
    <row r="96" spans="1:1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  <row r="843" spans="2:6">
      <c r="B843" s="16"/>
      <c r="F843" s="16"/>
    </row>
    <row r="844" spans="2:6">
      <c r="B844" s="16"/>
      <c r="F844" s="16"/>
    </row>
    <row r="845" spans="2:6">
      <c r="B845" s="16"/>
      <c r="F845" s="16"/>
    </row>
  </sheetData>
  <phoneticPr fontId="8" type="noConversion"/>
  <hyperlinks>
    <hyperlink ref="P11" r:id="rId1" display="http://www.bav-astro.de/sfs/BAVM_link.php?BAVMnr=132" xr:uid="{00000000-0004-0000-0100-000000000000}"/>
    <hyperlink ref="P12" r:id="rId2" display="http://www.bav-astro.de/sfs/BAVM_link.php?BAVMnr=132" xr:uid="{00000000-0004-0000-0100-000001000000}"/>
    <hyperlink ref="P13" r:id="rId3" display="http://www.bav-astro.de/sfs/BAVM_link.php?BAVMnr=132" xr:uid="{00000000-0004-0000-0100-000002000000}"/>
    <hyperlink ref="P14" r:id="rId4" display="http://www.bav-astro.de/sfs/BAVM_link.php?BAVMnr=132" xr:uid="{00000000-0004-0000-0100-000003000000}"/>
    <hyperlink ref="P15" r:id="rId5" display="http://www.bav-astro.de/sfs/BAVM_link.php?BAVMnr=132" xr:uid="{00000000-0004-0000-0100-000004000000}"/>
    <hyperlink ref="P16" r:id="rId6" display="http://www.bav-astro.de/sfs/BAVM_link.php?BAVMnr=132" xr:uid="{00000000-0004-0000-0100-000005000000}"/>
    <hyperlink ref="P18" r:id="rId7" display="http://www.aavso.org/sites/default/files/jaavso/v36n2/186.pdf" xr:uid="{00000000-0004-0000-0100-000006000000}"/>
    <hyperlink ref="P19" r:id="rId8" display="http://www.aavso.org/sites/default/files/jaavso/v36n2/186.pdf" xr:uid="{00000000-0004-0000-0100-000007000000}"/>
    <hyperlink ref="P20" r:id="rId9" display="http://www.aavso.org/sites/default/files/jaavso/v36n2/186.pdf" xr:uid="{00000000-0004-0000-0100-000008000000}"/>
    <hyperlink ref="P21" r:id="rId10" display="http://www.aavso.org/sites/default/files/jaavso/v37n1/7(1),44.pdf" xr:uid="{00000000-0004-0000-0100-000009000000}"/>
    <hyperlink ref="P24" r:id="rId11" display="http://www.bav-astro.de/sfs/BAVM_link.php?BAVMnr=220" xr:uid="{00000000-0004-0000-0100-00000A000000}"/>
    <hyperlink ref="P26" r:id="rId12" display="http://www.bav-astro.de/sfs/BAVM_link.php?BAVMnr=220" xr:uid="{00000000-0004-0000-0100-00000B000000}"/>
    <hyperlink ref="P88" r:id="rId13" display="http://www.bav-astro.de/sfs/BAVM_link.php?BAVMnr=225" xr:uid="{00000000-0004-0000-0100-00000C000000}"/>
    <hyperlink ref="P27" r:id="rId14" display="http://www.konkoly.hu/cgi-bin/IBVS?6042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2023-01-26T06:46:36Z</dcterms:modified>
</cp:coreProperties>
</file>