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DD2A526-05A3-4A5A-81F2-4FE927BE4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Q50" i="1"/>
  <c r="C7" i="1"/>
  <c r="E50" i="1"/>
  <c r="F50" i="1"/>
  <c r="G50" i="1"/>
  <c r="K50" i="1"/>
  <c r="C8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E31" i="1"/>
  <c r="F31" i="1"/>
  <c r="G31" i="1"/>
  <c r="I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I35" i="1"/>
  <c r="E36" i="1"/>
  <c r="F36" i="1"/>
  <c r="G36" i="1"/>
  <c r="I36" i="1"/>
  <c r="E37" i="1"/>
  <c r="F37" i="1"/>
  <c r="G37" i="1"/>
  <c r="E38" i="1"/>
  <c r="F38" i="1"/>
  <c r="G38" i="1"/>
  <c r="E39" i="1"/>
  <c r="F39" i="1"/>
  <c r="G39" i="1"/>
  <c r="I39" i="1"/>
  <c r="E40" i="1"/>
  <c r="F40" i="1"/>
  <c r="G40" i="1"/>
  <c r="J40" i="1"/>
  <c r="E42" i="1"/>
  <c r="F42" i="1"/>
  <c r="G42" i="1"/>
  <c r="I42" i="1"/>
  <c r="E44" i="1"/>
  <c r="F44" i="1"/>
  <c r="G44" i="1"/>
  <c r="I44" i="1"/>
  <c r="E46" i="1"/>
  <c r="F46" i="1"/>
  <c r="G46" i="1"/>
  <c r="I46" i="1"/>
  <c r="D9" i="1"/>
  <c r="C9" i="1"/>
  <c r="E41" i="1"/>
  <c r="F41" i="1"/>
  <c r="G41" i="1"/>
  <c r="I41" i="1"/>
  <c r="E21" i="1"/>
  <c r="F21" i="1"/>
  <c r="G21" i="1"/>
  <c r="H21" i="1"/>
  <c r="E43" i="1"/>
  <c r="F43" i="1"/>
  <c r="G43" i="1"/>
  <c r="I43" i="1"/>
  <c r="E49" i="1"/>
  <c r="F49" i="1"/>
  <c r="G49" i="1"/>
  <c r="E48" i="1"/>
  <c r="F48" i="1"/>
  <c r="G48" i="1"/>
  <c r="E45" i="1"/>
  <c r="F45" i="1"/>
  <c r="G45" i="1"/>
  <c r="I45" i="1"/>
  <c r="E47" i="1"/>
  <c r="F47" i="1"/>
  <c r="Q22" i="1"/>
  <c r="Q23" i="1"/>
  <c r="Q24" i="1"/>
  <c r="Q25" i="1"/>
  <c r="Q26" i="1"/>
  <c r="Q27" i="1"/>
  <c r="Q28" i="1"/>
  <c r="H29" i="1"/>
  <c r="Q29" i="1"/>
  <c r="I30" i="1"/>
  <c r="Q30" i="1"/>
  <c r="Q31" i="1"/>
  <c r="Q32" i="1"/>
  <c r="Q33" i="1"/>
  <c r="Q34" i="1"/>
  <c r="Q35" i="1"/>
  <c r="Q36" i="1"/>
  <c r="I37" i="1"/>
  <c r="Q37" i="1"/>
  <c r="I38" i="1"/>
  <c r="Q38" i="1"/>
  <c r="Q39" i="1"/>
  <c r="Q40" i="1"/>
  <c r="Q42" i="1"/>
  <c r="Q44" i="1"/>
  <c r="Q46" i="1"/>
  <c r="G15" i="2"/>
  <c r="C15" i="2"/>
  <c r="E15" i="2"/>
  <c r="G14" i="2"/>
  <c r="C14" i="2"/>
  <c r="E14" i="2"/>
  <c r="G37" i="2"/>
  <c r="C37" i="2"/>
  <c r="E37" i="2"/>
  <c r="G13" i="2"/>
  <c r="C13" i="2"/>
  <c r="E13" i="2"/>
  <c r="G36" i="2"/>
  <c r="C36" i="2"/>
  <c r="E36" i="2"/>
  <c r="G12" i="2"/>
  <c r="C12" i="2"/>
  <c r="E12" i="2"/>
  <c r="G35" i="2"/>
  <c r="C35" i="2"/>
  <c r="E35" i="2"/>
  <c r="G11" i="2"/>
  <c r="C11" i="2"/>
  <c r="E11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H15" i="2"/>
  <c r="B15" i="2"/>
  <c r="D15" i="2"/>
  <c r="A15" i="2"/>
  <c r="H14" i="2"/>
  <c r="B14" i="2"/>
  <c r="D14" i="2"/>
  <c r="A14" i="2"/>
  <c r="H37" i="2"/>
  <c r="B37" i="2"/>
  <c r="D37" i="2"/>
  <c r="A37" i="2"/>
  <c r="H13" i="2"/>
  <c r="B13" i="2"/>
  <c r="D13" i="2"/>
  <c r="A13" i="2"/>
  <c r="H36" i="2"/>
  <c r="B36" i="2"/>
  <c r="D36" i="2"/>
  <c r="A36" i="2"/>
  <c r="H12" i="2"/>
  <c r="B12" i="2"/>
  <c r="D12" i="2"/>
  <c r="A12" i="2"/>
  <c r="H35" i="2"/>
  <c r="B35" i="2"/>
  <c r="D35" i="2"/>
  <c r="A35" i="2"/>
  <c r="H11" i="2"/>
  <c r="B11" i="2"/>
  <c r="D11" i="2"/>
  <c r="A11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F16" i="1"/>
  <c r="F17" i="1" s="1"/>
  <c r="Q41" i="1"/>
  <c r="J48" i="1"/>
  <c r="Q48" i="1"/>
  <c r="K49" i="1"/>
  <c r="Q49" i="1"/>
  <c r="C17" i="1"/>
  <c r="Q45" i="1"/>
  <c r="Q47" i="1"/>
  <c r="Q43" i="1"/>
  <c r="Q21" i="1"/>
  <c r="C12" i="1"/>
  <c r="C11" i="1"/>
  <c r="O51" i="1" l="1"/>
  <c r="C16" i="1"/>
  <c r="D18" i="1" s="1"/>
  <c r="O29" i="1"/>
  <c r="O46" i="1"/>
  <c r="O36" i="1"/>
  <c r="O45" i="1"/>
  <c r="O26" i="1"/>
  <c r="O47" i="1"/>
  <c r="O49" i="1"/>
  <c r="O39" i="1"/>
  <c r="O37" i="1"/>
  <c r="O30" i="1"/>
  <c r="O50" i="1"/>
  <c r="O25" i="1"/>
  <c r="O24" i="1"/>
  <c r="O28" i="1"/>
  <c r="O21" i="1"/>
  <c r="O22" i="1"/>
  <c r="O23" i="1"/>
  <c r="O34" i="1"/>
  <c r="O38" i="1"/>
  <c r="O43" i="1"/>
  <c r="C15" i="1"/>
  <c r="O27" i="1"/>
  <c r="O40" i="1"/>
  <c r="O31" i="1"/>
  <c r="O41" i="1"/>
  <c r="O44" i="1"/>
  <c r="O33" i="1"/>
  <c r="O48" i="1"/>
  <c r="O32" i="1"/>
  <c r="O35" i="1"/>
  <c r="O42" i="1"/>
  <c r="C18" i="1" l="1"/>
  <c r="F18" i="1"/>
  <c r="F19" i="1" s="1"/>
</calcChain>
</file>

<file path=xl/sharedStrings.xml><?xml version="1.0" encoding="utf-8"?>
<sst xmlns="http://schemas.openxmlformats.org/spreadsheetml/2006/main" count="333" uniqueCount="174">
  <si>
    <t>IBVS 6196</t>
  </si>
  <si>
    <t>0.0037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</si>
  <si>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</si>
  <si>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</si>
  <si>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</si>
  <si>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</si>
  <si>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</si>
  <si>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</si>
  <si>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</si>
  <si>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</si>
  <si>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</si>
  <si>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</si>
  <si>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</si>
  <si>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</si>
  <si>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</si>
  <si>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</si>
  <si>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</si>
  <si>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</si>
  <si>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</si>
  <si>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</si>
  <si>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</si>
  <si>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</si>
  <si>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</si>
  <si>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</si>
  <si>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</si>
  <si>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</si>
  <si>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</si>
  <si>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</si>
  <si>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</si>
  <si>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</si>
  <si>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</si>
  <si>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 xml:space="preserve">GT Cep / GSC 04477-00480 </t>
  </si>
  <si>
    <t>EA/SD</t>
  </si>
  <si>
    <t>IBVS 5438</t>
  </si>
  <si>
    <t>I</t>
  </si>
  <si>
    <t>BV 374</t>
  </si>
  <si>
    <t>BD +67°1485</t>
  </si>
  <si>
    <t>OEJV 0028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</si>
  <si>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</si>
  <si>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</si>
  <si>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</si>
  <si>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</si>
  <si>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</si>
  <si>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</si>
  <si>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</si>
  <si>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6010</t>
  </si>
  <si>
    <t>IBVS 6007</t>
  </si>
  <si>
    <t>II</t>
  </si>
  <si>
    <t>2013JAVSO..41..122</t>
  </si>
  <si>
    <t>BAD?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</si>
  <si>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</si>
  <si>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</si>
  <si>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</si>
  <si>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</si>
  <si>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</si>
  <si>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</si>
  <si>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</si>
  <si>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</si>
  <si>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</si>
  <si>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</si>
  <si>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</si>
  <si>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</si>
  <si>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</si>
  <si>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</si>
  <si>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2426649.353 </t>
  </si>
  <si>
    <t> 03.11.1931 20:28 </t>
  </si>
  <si>
    <t> 0.082 </t>
  </si>
  <si>
    <t>P </t>
  </si>
  <si>
    <t> W.Strohmeier </t>
  </si>
  <si>
    <t> MVS 649 </t>
  </si>
  <si>
    <t>2426958.443 </t>
  </si>
  <si>
    <t> 07.09.1932 22:37 </t>
  </si>
  <si>
    <t> -0.080 </t>
  </si>
  <si>
    <t>2426958.465 </t>
  </si>
  <si>
    <t> 07.09.1932 23:09 </t>
  </si>
  <si>
    <t> -0.058 </t>
  </si>
  <si>
    <t>2426958.531 </t>
  </si>
  <si>
    <t> 08.09.1932 00:44 </t>
  </si>
  <si>
    <t> 0.008 </t>
  </si>
  <si>
    <t>2427395.288 </t>
  </si>
  <si>
    <t> 18.11.1933 18:54 </t>
  </si>
  <si>
    <t> -0.114 </t>
  </si>
  <si>
    <t>2429167.378 </t>
  </si>
  <si>
    <t> 25.09.1938 21:04 </t>
  </si>
  <si>
    <t> -0.085 </t>
  </si>
  <si>
    <t>2429167.399 </t>
  </si>
  <si>
    <t> 25.09.1938 21:34 </t>
  </si>
  <si>
    <t> -0.064 </t>
  </si>
  <si>
    <t>2436486.395 </t>
  </si>
  <si>
    <t> 09.10.1958 21:28 </t>
  </si>
  <si>
    <t> -0.023 </t>
  </si>
  <si>
    <t>2437016.473 </t>
  </si>
  <si>
    <t> 22.03.1960 23:21 </t>
  </si>
  <si>
    <t> -0.091 </t>
  </si>
  <si>
    <t> T.Berthold </t>
  </si>
  <si>
    <t> HABZ 71 </t>
  </si>
  <si>
    <t>2437399.420 </t>
  </si>
  <si>
    <t> 09.04.1961 22:04 </t>
  </si>
  <si>
    <t> -0.027 </t>
  </si>
  <si>
    <t>2437561.402 </t>
  </si>
  <si>
    <t> 18.09.1961 21:38 </t>
  </si>
  <si>
    <t> -0.034 </t>
  </si>
  <si>
    <t>2437561.452 </t>
  </si>
  <si>
    <t> 18.09.1961 22:50 </t>
  </si>
  <si>
    <t> 0.016 </t>
  </si>
  <si>
    <t>2437615.340 </t>
  </si>
  <si>
    <t> 11.11.1961 20:09 </t>
  </si>
  <si>
    <t> -0.092 </t>
  </si>
  <si>
    <t>2439387.562 </t>
  </si>
  <si>
    <t> 19.09.1966 01:29 </t>
  </si>
  <si>
    <t> 0.069 </t>
  </si>
  <si>
    <t>2439451.400 </t>
  </si>
  <si>
    <t> 21.11.1966 21:36 </t>
  </si>
  <si>
    <t> 0.093 </t>
  </si>
  <si>
    <t> Bondarenko[Licht.] </t>
  </si>
  <si>
    <t> PZP 2.185 </t>
  </si>
  <si>
    <t>2439466.154 </t>
  </si>
  <si>
    <t> 06.12.1966 15:41 </t>
  </si>
  <si>
    <t> 0.121 </t>
  </si>
  <si>
    <t>2441601.316 </t>
  </si>
  <si>
    <t> 10.10.1972 19:35 </t>
  </si>
  <si>
    <t> -0.026 </t>
  </si>
  <si>
    <t>2444114.508 </t>
  </si>
  <si>
    <t> 29.08.1979 00:11 </t>
  </si>
  <si>
    <t> -0.117 </t>
  </si>
  <si>
    <t>V </t>
  </si>
  <si>
    <t> T.Brelstaff </t>
  </si>
  <si>
    <t> VSSC 59.17 </t>
  </si>
  <si>
    <t>2447462.5279 </t>
  </si>
  <si>
    <t> 28.10.1988 00:40 </t>
  </si>
  <si>
    <t> 0.1312 </t>
  </si>
  <si>
    <t>E </t>
  </si>
  <si>
    <t>?</t>
  </si>
  <si>
    <t> J.Ells </t>
  </si>
  <si>
    <t> VSSC 72.25 </t>
  </si>
  <si>
    <t>2451060.638 </t>
  </si>
  <si>
    <t> 04.09.1998 03:18 </t>
  </si>
  <si>
    <t> 0.123 </t>
  </si>
  <si>
    <t> S.Cook </t>
  </si>
  <si>
    <t> JAAVSO 41;122 </t>
  </si>
  <si>
    <t>2452096.389 </t>
  </si>
  <si>
    <t> 05.07.2001 21:20 </t>
  </si>
  <si>
    <t> 0.127 </t>
  </si>
  <si>
    <t> R.Meyer </t>
  </si>
  <si>
    <t>BAVM 154 </t>
  </si>
  <si>
    <t>2452145.477 </t>
  </si>
  <si>
    <t> 23.08.2001 23:26 </t>
  </si>
  <si>
    <t> K.Tikkanen </t>
  </si>
  <si>
    <t> BBS 129 </t>
  </si>
  <si>
    <t>2452862.15 </t>
  </si>
  <si>
    <t> 10.08.2003 15:36 </t>
  </si>
  <si>
    <t> 0.12 </t>
  </si>
  <si>
    <t>BAVM 171 </t>
  </si>
  <si>
    <t>2453632.829 </t>
  </si>
  <si>
    <t> 19.09.2005 07:53 </t>
  </si>
  <si>
    <t> 0.126 </t>
  </si>
  <si>
    <t>OEJV 0028 </t>
  </si>
  <si>
    <t>2453966.65 </t>
  </si>
  <si>
    <t> 19.08.2006 03:36 </t>
  </si>
  <si>
    <t> 0.15 </t>
  </si>
  <si>
    <t> W.Kriebel </t>
  </si>
  <si>
    <t>BAVM 187 </t>
  </si>
  <si>
    <t>2455645.4049 </t>
  </si>
  <si>
    <t> 24.03.2011 21:43 </t>
  </si>
  <si>
    <t> 0.1120 </t>
  </si>
  <si>
    <t>C </t>
  </si>
  <si>
    <t> F.Agerer </t>
  </si>
  <si>
    <t>BAVM 220 </t>
  </si>
  <si>
    <t>2455834.40694 </t>
  </si>
  <si>
    <t> 29.09.2011 21:45 </t>
  </si>
  <si>
    <t> 0.12689 </t>
  </si>
  <si>
    <t> R.Uhlar </t>
  </si>
  <si>
    <t>IBVS 6007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</si>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</sst>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Cep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8.175199999823235E-2</c:v>
                </c:pt>
                <c:pt idx="2">
                  <c:v>-7.9875999999785563E-2</c:v>
                </c:pt>
                <c:pt idx="3">
                  <c:v>-5.7875999998941552E-2</c:v>
                </c:pt>
                <c:pt idx="4">
                  <c:v>8.1239999999525025E-3</c:v>
                </c:pt>
                <c:pt idx="5">
                  <c:v>-0.11416000000099302</c:v>
                </c:pt>
                <c:pt idx="6">
                  <c:v>-8.5075999999389751E-2</c:v>
                </c:pt>
                <c:pt idx="7">
                  <c:v>-6.4075999998749467E-2</c:v>
                </c:pt>
                <c:pt idx="8">
                  <c:v>-2.3272000005817972E-2</c:v>
                </c:pt>
                <c:pt idx="11">
                  <c:v>-3.3836000002338551E-2</c:v>
                </c:pt>
                <c:pt idx="12">
                  <c:v>1.6163999993295874E-2</c:v>
                </c:pt>
                <c:pt idx="13">
                  <c:v>-9.2152000004716683E-2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FB-4D4D-BFAB-68783A4A4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-9.0920000002370216E-2</c:v>
                </c:pt>
                <c:pt idx="10">
                  <c:v>-2.6888000000326429E-2</c:v>
                </c:pt>
                <c:pt idx="14">
                  <c:v>6.8931999994674698E-2</c:v>
                </c:pt>
                <c:pt idx="15">
                  <c:v>9.310399999958463E-2</c:v>
                </c:pt>
                <c:pt idx="16">
                  <c:v>0.12083600000187289</c:v>
                </c:pt>
                <c:pt idx="17">
                  <c:v>-2.602399999886984E-2</c:v>
                </c:pt>
                <c:pt idx="18">
                  <c:v>-0.11709600000176579</c:v>
                </c:pt>
                <c:pt idx="20">
                  <c:v>0.12316399999690475</c:v>
                </c:pt>
                <c:pt idx="21">
                  <c:v>0.12664799999765819</c:v>
                </c:pt>
                <c:pt idx="22">
                  <c:v>0.12708799999381881</c:v>
                </c:pt>
                <c:pt idx="23">
                  <c:v>0.12171200000011595</c:v>
                </c:pt>
                <c:pt idx="24">
                  <c:v>0.12601999999606051</c:v>
                </c:pt>
                <c:pt idx="25">
                  <c:v>0.15161199999420205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FB-4D4D-BFAB-68783A4A4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0.13121200000023236</c:v>
                </c:pt>
                <c:pt idx="27">
                  <c:v>0.11196000000200002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FB-4D4D-BFAB-68783A4A4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8">
                  <c:v>0.12689400000090245</c:v>
                </c:pt>
                <c:pt idx="29">
                  <c:v>0.12333599998964928</c:v>
                </c:pt>
                <c:pt idx="30">
                  <c:v>0.11854799999855459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FB-4D4D-BFAB-68783A4A4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FB-4D4D-BFAB-68783A4A4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FB-4D4D-BFAB-68783A4A4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FB-4D4D-BFAB-68783A4A4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-7.106513794137094E-2</c:v>
                </c:pt>
                <c:pt idx="1">
                  <c:v>-6.4477585096546247E-2</c:v>
                </c:pt>
                <c:pt idx="2">
                  <c:v>-6.2482316686815698E-2</c:v>
                </c:pt>
                <c:pt idx="3">
                  <c:v>-6.2482316686815698E-2</c:v>
                </c:pt>
                <c:pt idx="4">
                  <c:v>-6.2482316686815698E-2</c:v>
                </c:pt>
                <c:pt idx="5">
                  <c:v>-5.966360417148206E-2</c:v>
                </c:pt>
                <c:pt idx="6">
                  <c:v>-4.8230399474454594E-2</c:v>
                </c:pt>
                <c:pt idx="7">
                  <c:v>-4.8230399474454594E-2</c:v>
                </c:pt>
                <c:pt idx="8">
                  <c:v>-1.0090471108314819E-3</c:v>
                </c:pt>
                <c:pt idx="9">
                  <c:v>2.4114130201351724E-3</c:v>
                </c:pt>
                <c:pt idx="10">
                  <c:v>4.8817453369444375E-3</c:v>
                </c:pt>
                <c:pt idx="11">
                  <c:v>5.9268859325175838E-3</c:v>
                </c:pt>
                <c:pt idx="12">
                  <c:v>5.9268859325175838E-3</c:v>
                </c:pt>
                <c:pt idx="13">
                  <c:v>6.2752661310419705E-3</c:v>
                </c:pt>
                <c:pt idx="14">
                  <c:v>1.7708470828069423E-2</c:v>
                </c:pt>
                <c:pt idx="15">
                  <c:v>1.8120192880870967E-2</c:v>
                </c:pt>
                <c:pt idx="16">
                  <c:v>1.821520566228671E-2</c:v>
                </c:pt>
                <c:pt idx="17">
                  <c:v>3.1992058967569112E-2</c:v>
                </c:pt>
                <c:pt idx="18">
                  <c:v>4.820757366252218E-2</c:v>
                </c:pt>
                <c:pt idx="19">
                  <c:v>6.9807145971033893E-2</c:v>
                </c:pt>
                <c:pt idx="20">
                  <c:v>9.3021935563613198E-2</c:v>
                </c:pt>
                <c:pt idx="21">
                  <c:v>9.970450118985362E-2</c:v>
                </c:pt>
                <c:pt idx="22">
                  <c:v>0.10002121046123942</c:v>
                </c:pt>
                <c:pt idx="23">
                  <c:v>0.10464516582347215</c:v>
                </c:pt>
                <c:pt idx="24">
                  <c:v>0.10961750138422922</c:v>
                </c:pt>
                <c:pt idx="25">
                  <c:v>0.11177112442965269</c:v>
                </c:pt>
                <c:pt idx="26">
                  <c:v>0.11333883532301241</c:v>
                </c:pt>
                <c:pt idx="27">
                  <c:v>0.12260258151104712</c:v>
                </c:pt>
                <c:pt idx="28">
                  <c:v>0.12382191220588247</c:v>
                </c:pt>
                <c:pt idx="29">
                  <c:v>0.13302231653964003</c:v>
                </c:pt>
                <c:pt idx="30">
                  <c:v>0.14721089189772396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FB-4D4D-BFAB-68783A4A48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6">
                  <c:v>0.95980000000417931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FB-4D4D-BFAB-68783A4A4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36544"/>
        <c:axId val="1"/>
      </c:scatterChart>
      <c:valAx>
        <c:axId val="3919365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3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Cep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8.175199999823235E-2</c:v>
                </c:pt>
                <c:pt idx="2">
                  <c:v>-7.9875999999785563E-2</c:v>
                </c:pt>
                <c:pt idx="3">
                  <c:v>-5.7875999998941552E-2</c:v>
                </c:pt>
                <c:pt idx="4">
                  <c:v>8.1239999999525025E-3</c:v>
                </c:pt>
                <c:pt idx="5">
                  <c:v>-0.11416000000099302</c:v>
                </c:pt>
                <c:pt idx="6">
                  <c:v>-8.5075999999389751E-2</c:v>
                </c:pt>
                <c:pt idx="7">
                  <c:v>-6.4075999998749467E-2</c:v>
                </c:pt>
                <c:pt idx="8">
                  <c:v>-2.3272000005817972E-2</c:v>
                </c:pt>
                <c:pt idx="11">
                  <c:v>-3.3836000002338551E-2</c:v>
                </c:pt>
                <c:pt idx="12">
                  <c:v>1.6163999993295874E-2</c:v>
                </c:pt>
                <c:pt idx="13">
                  <c:v>-9.2152000004716683E-2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9-4338-87C5-8BBA1E2223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-9.0920000002370216E-2</c:v>
                </c:pt>
                <c:pt idx="10">
                  <c:v>-2.6888000000326429E-2</c:v>
                </c:pt>
                <c:pt idx="14">
                  <c:v>6.8931999994674698E-2</c:v>
                </c:pt>
                <c:pt idx="15">
                  <c:v>9.310399999958463E-2</c:v>
                </c:pt>
                <c:pt idx="16">
                  <c:v>0.12083600000187289</c:v>
                </c:pt>
                <c:pt idx="17">
                  <c:v>-2.602399999886984E-2</c:v>
                </c:pt>
                <c:pt idx="18">
                  <c:v>-0.11709600000176579</c:v>
                </c:pt>
                <c:pt idx="20">
                  <c:v>0.12316399999690475</c:v>
                </c:pt>
                <c:pt idx="21">
                  <c:v>0.12664799999765819</c:v>
                </c:pt>
                <c:pt idx="22">
                  <c:v>0.12708799999381881</c:v>
                </c:pt>
                <c:pt idx="23">
                  <c:v>0.12171200000011595</c:v>
                </c:pt>
                <c:pt idx="24">
                  <c:v>0.12601999999606051</c:v>
                </c:pt>
                <c:pt idx="25">
                  <c:v>0.15161199999420205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9-4338-87C5-8BBA1E2223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0.13121200000023236</c:v>
                </c:pt>
                <c:pt idx="27">
                  <c:v>0.11196000000200002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9-4338-87C5-8BBA1E2223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8">
                  <c:v>0.12689400000090245</c:v>
                </c:pt>
                <c:pt idx="29">
                  <c:v>0.12333599998964928</c:v>
                </c:pt>
                <c:pt idx="30">
                  <c:v>0.11854799999855459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9-4338-87C5-8BBA1E2223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59-4338-87C5-8BBA1E2223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59-4338-87C5-8BBA1E2223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0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59-4338-87C5-8BBA1E2223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-7.106513794137094E-2</c:v>
                </c:pt>
                <c:pt idx="1">
                  <c:v>-6.4477585096546247E-2</c:v>
                </c:pt>
                <c:pt idx="2">
                  <c:v>-6.2482316686815698E-2</c:v>
                </c:pt>
                <c:pt idx="3">
                  <c:v>-6.2482316686815698E-2</c:v>
                </c:pt>
                <c:pt idx="4">
                  <c:v>-6.2482316686815698E-2</c:v>
                </c:pt>
                <c:pt idx="5">
                  <c:v>-5.966360417148206E-2</c:v>
                </c:pt>
                <c:pt idx="6">
                  <c:v>-4.8230399474454594E-2</c:v>
                </c:pt>
                <c:pt idx="7">
                  <c:v>-4.8230399474454594E-2</c:v>
                </c:pt>
                <c:pt idx="8">
                  <c:v>-1.0090471108314819E-3</c:v>
                </c:pt>
                <c:pt idx="9">
                  <c:v>2.4114130201351724E-3</c:v>
                </c:pt>
                <c:pt idx="10">
                  <c:v>4.8817453369444375E-3</c:v>
                </c:pt>
                <c:pt idx="11">
                  <c:v>5.9268859325175838E-3</c:v>
                </c:pt>
                <c:pt idx="12">
                  <c:v>5.9268859325175838E-3</c:v>
                </c:pt>
                <c:pt idx="13">
                  <c:v>6.2752661310419705E-3</c:v>
                </c:pt>
                <c:pt idx="14">
                  <c:v>1.7708470828069423E-2</c:v>
                </c:pt>
                <c:pt idx="15">
                  <c:v>1.8120192880870967E-2</c:v>
                </c:pt>
                <c:pt idx="16">
                  <c:v>1.821520566228671E-2</c:v>
                </c:pt>
                <c:pt idx="17">
                  <c:v>3.1992058967569112E-2</c:v>
                </c:pt>
                <c:pt idx="18">
                  <c:v>4.820757366252218E-2</c:v>
                </c:pt>
                <c:pt idx="19">
                  <c:v>6.9807145971033893E-2</c:v>
                </c:pt>
                <c:pt idx="20">
                  <c:v>9.3021935563613198E-2</c:v>
                </c:pt>
                <c:pt idx="21">
                  <c:v>9.970450118985362E-2</c:v>
                </c:pt>
                <c:pt idx="22">
                  <c:v>0.10002121046123942</c:v>
                </c:pt>
                <c:pt idx="23">
                  <c:v>0.10464516582347215</c:v>
                </c:pt>
                <c:pt idx="24">
                  <c:v>0.10961750138422922</c:v>
                </c:pt>
                <c:pt idx="25">
                  <c:v>0.11177112442965269</c:v>
                </c:pt>
                <c:pt idx="26">
                  <c:v>0.11333883532301241</c:v>
                </c:pt>
                <c:pt idx="27">
                  <c:v>0.12260258151104712</c:v>
                </c:pt>
                <c:pt idx="28">
                  <c:v>0.12382191220588247</c:v>
                </c:pt>
                <c:pt idx="29">
                  <c:v>0.13302231653964003</c:v>
                </c:pt>
                <c:pt idx="30">
                  <c:v>0.14721089189772396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59-4338-87C5-8BBA1E2223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6">
                  <c:v>0.95980000000417931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59-4338-87C5-8BBA1E22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38184"/>
        <c:axId val="1"/>
      </c:scatterChart>
      <c:valAx>
        <c:axId val="391938184"/>
        <c:scaling>
          <c:orientation val="minMax"/>
          <c:max val="6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38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97264437689974"/>
          <c:w val="0.77580645161290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1A896E3-1056-64FA-F1CC-9BC9EC71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9525</xdr:rowOff>
    </xdr:from>
    <xdr:to>
      <xdr:col>25</xdr:col>
      <xdr:colOff>638175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A463DA7-79ED-98F7-CA2C-F2A4A26E6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28.pdf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54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25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31</v>
      </c>
    </row>
    <row r="2" spans="1:6" x14ac:dyDescent="0.2">
      <c r="A2" t="s">
        <v>26</v>
      </c>
      <c r="B2" s="10" t="s">
        <v>32</v>
      </c>
      <c r="C2" s="3"/>
      <c r="D2" s="3" t="s">
        <v>35</v>
      </c>
    </row>
    <row r="3" spans="1:6" ht="13.5" thickBot="1" x14ac:dyDescent="0.25">
      <c r="D3" t="s">
        <v>36</v>
      </c>
    </row>
    <row r="4" spans="1:6" ht="14.25" thickTop="1" thickBot="1" x14ac:dyDescent="0.25">
      <c r="A4" s="5" t="s">
        <v>2</v>
      </c>
      <c r="C4" s="8">
        <v>25628.25</v>
      </c>
      <c r="D4" s="9">
        <v>4.9087560000000003</v>
      </c>
    </row>
    <row r="5" spans="1:6" ht="13.5" thickTop="1" x14ac:dyDescent="0.2">
      <c r="A5" s="15" t="s">
        <v>39</v>
      </c>
      <c r="B5" s="10"/>
      <c r="C5" s="16">
        <v>-9.5</v>
      </c>
      <c r="D5" s="10" t="s">
        <v>40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25628.25</v>
      </c>
    </row>
    <row r="8" spans="1:6" x14ac:dyDescent="0.2">
      <c r="A8" t="s">
        <v>5</v>
      </c>
      <c r="C8">
        <f>+D4</f>
        <v>4.9087560000000003</v>
      </c>
    </row>
    <row r="9" spans="1:6" x14ac:dyDescent="0.2">
      <c r="A9" s="29" t="s">
        <v>44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17">
        <f ca="1">INTERCEPT(INDIRECT($D$9):G992,INDIRECT($C$9):F992)</f>
        <v>-7.106513794137094E-2</v>
      </c>
      <c r="D11" s="3"/>
      <c r="E11" s="10"/>
    </row>
    <row r="12" spans="1:6" x14ac:dyDescent="0.2">
      <c r="A12" s="10" t="s">
        <v>19</v>
      </c>
      <c r="B12" s="10"/>
      <c r="C12" s="17">
        <f ca="1">SLOPE(INDIRECT($D$9):G992,INDIRECT($C$9):F992)</f>
        <v>3.1670927138580224E-5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20" t="s">
        <v>20</v>
      </c>
      <c r="B15" s="10"/>
      <c r="C15" s="21">
        <f ca="1">(C7+C11)+(C8+C12)*INT(MAX(F21:F3533))</f>
        <v>59459.5435628919</v>
      </c>
      <c r="E15" s="22" t="s">
        <v>50</v>
      </c>
      <c r="F15" s="16">
        <v>1</v>
      </c>
    </row>
    <row r="16" spans="1:6" x14ac:dyDescent="0.2">
      <c r="A16" s="24" t="s">
        <v>6</v>
      </c>
      <c r="B16" s="10"/>
      <c r="C16" s="25">
        <f ca="1">+C8+C12</f>
        <v>4.908787670927139</v>
      </c>
      <c r="E16" s="22" t="s">
        <v>41</v>
      </c>
      <c r="F16" s="23">
        <f ca="1">NOW()+15018.5+$C$5/24</f>
        <v>59970.82509849537</v>
      </c>
    </row>
    <row r="17" spans="1:21" ht="13.5" thickBot="1" x14ac:dyDescent="0.25">
      <c r="A17" s="22" t="s">
        <v>30</v>
      </c>
      <c r="B17" s="10"/>
      <c r="C17" s="10">
        <f>COUNT(C21:C2191)</f>
        <v>31</v>
      </c>
      <c r="E17" s="22" t="s">
        <v>51</v>
      </c>
      <c r="F17" s="23">
        <f ca="1">ROUND(2*(F16-$C$7)/$C$8,0)/2+F15</f>
        <v>6997</v>
      </c>
    </row>
    <row r="18" spans="1:21" ht="14.25" thickTop="1" thickBot="1" x14ac:dyDescent="0.25">
      <c r="A18" s="24" t="s">
        <v>7</v>
      </c>
      <c r="B18" s="10"/>
      <c r="C18" s="27">
        <f ca="1">+C15</f>
        <v>59459.5435628919</v>
      </c>
      <c r="D18" s="28">
        <f ca="1">+C16</f>
        <v>4.908787670927139</v>
      </c>
      <c r="E18" s="22" t="s">
        <v>42</v>
      </c>
      <c r="F18" s="19">
        <f ca="1">ROUND(2*(F16-$C$15)/$C$16,0)/2+F15</f>
        <v>105</v>
      </c>
    </row>
    <row r="19" spans="1:21" ht="13.5" thickTop="1" x14ac:dyDescent="0.2">
      <c r="E19" s="22" t="s">
        <v>43</v>
      </c>
      <c r="F19" s="26">
        <f ca="1">+$C$15+$C$16*F18-15018.5-$C$5/24</f>
        <v>44956.862101672588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R20" s="4"/>
      <c r="S20" s="4"/>
      <c r="T20" s="4"/>
      <c r="U20" s="37" t="s">
        <v>49</v>
      </c>
    </row>
    <row r="21" spans="1:21" x14ac:dyDescent="0.2">
      <c r="A21" t="s">
        <v>14</v>
      </c>
      <c r="C21" s="14">
        <v>25628.25</v>
      </c>
      <c r="D21" s="14" t="s">
        <v>16</v>
      </c>
      <c r="E21">
        <f t="shared" ref="E21:E48" si="0">+(C21-C$7)/C$8</f>
        <v>0</v>
      </c>
      <c r="F21">
        <f t="shared" ref="F21:F48" si="1">ROUND(2*E21,0)/2</f>
        <v>0</v>
      </c>
      <c r="G21">
        <f t="shared" ref="G21:G46" si="2">+C21-(C$7+F21*C$8)</f>
        <v>0</v>
      </c>
      <c r="H21">
        <f t="shared" ref="H21:H29" si="3">+G21</f>
        <v>0</v>
      </c>
      <c r="O21">
        <f t="shared" ref="O21:O48" ca="1" si="4">+C$11+C$12*$F21</f>
        <v>-7.106513794137094E-2</v>
      </c>
      <c r="Q21" s="2">
        <f t="shared" ref="Q21:Q48" si="5">+C21-15018.5</f>
        <v>10609.75</v>
      </c>
      <c r="R21" s="2"/>
      <c r="S21" s="2"/>
      <c r="T21" s="2"/>
    </row>
    <row r="22" spans="1:21" x14ac:dyDescent="0.2">
      <c r="A22" s="51" t="s">
        <v>69</v>
      </c>
      <c r="B22" s="52" t="s">
        <v>34</v>
      </c>
      <c r="C22" s="51">
        <v>26649.352999999999</v>
      </c>
      <c r="D22" s="51" t="s">
        <v>62</v>
      </c>
      <c r="E22">
        <f t="shared" si="0"/>
        <v>208.0166543213798</v>
      </c>
      <c r="F22">
        <f t="shared" si="1"/>
        <v>208</v>
      </c>
      <c r="G22">
        <f t="shared" si="2"/>
        <v>8.175199999823235E-2</v>
      </c>
      <c r="H22">
        <f t="shared" si="3"/>
        <v>8.175199999823235E-2</v>
      </c>
      <c r="O22">
        <f t="shared" ca="1" si="4"/>
        <v>-6.4477585096546247E-2</v>
      </c>
      <c r="Q22" s="2">
        <f t="shared" si="5"/>
        <v>11630.852999999999</v>
      </c>
      <c r="R22" s="2"/>
      <c r="S22" s="2"/>
      <c r="T22" s="2"/>
    </row>
    <row r="23" spans="1:21" x14ac:dyDescent="0.2">
      <c r="A23" s="51" t="s">
        <v>69</v>
      </c>
      <c r="B23" s="52" t="s">
        <v>34</v>
      </c>
      <c r="C23" s="51">
        <v>26958.442999999999</v>
      </c>
      <c r="D23" s="51" t="s">
        <v>62</v>
      </c>
      <c r="E23">
        <f t="shared" si="0"/>
        <v>270.98372785284079</v>
      </c>
      <c r="F23">
        <f t="shared" si="1"/>
        <v>271</v>
      </c>
      <c r="G23">
        <f t="shared" si="2"/>
        <v>-7.9875999999785563E-2</v>
      </c>
      <c r="H23">
        <f t="shared" si="3"/>
        <v>-7.9875999999785563E-2</v>
      </c>
      <c r="O23">
        <f t="shared" ca="1" si="4"/>
        <v>-6.2482316686815698E-2</v>
      </c>
      <c r="Q23" s="2">
        <f t="shared" si="5"/>
        <v>11939.942999999999</v>
      </c>
      <c r="R23" s="2"/>
      <c r="S23" s="2"/>
      <c r="T23" s="2"/>
    </row>
    <row r="24" spans="1:21" x14ac:dyDescent="0.2">
      <c r="A24" s="51" t="s">
        <v>69</v>
      </c>
      <c r="B24" s="52" t="s">
        <v>34</v>
      </c>
      <c r="C24" s="51">
        <v>26958.465</v>
      </c>
      <c r="D24" s="51" t="s">
        <v>62</v>
      </c>
      <c r="E24">
        <f t="shared" si="0"/>
        <v>270.9882096400799</v>
      </c>
      <c r="F24">
        <f t="shared" si="1"/>
        <v>271</v>
      </c>
      <c r="G24">
        <f t="shared" si="2"/>
        <v>-5.7875999998941552E-2</v>
      </c>
      <c r="H24">
        <f t="shared" si="3"/>
        <v>-5.7875999998941552E-2</v>
      </c>
      <c r="O24">
        <f t="shared" ca="1" si="4"/>
        <v>-6.2482316686815698E-2</v>
      </c>
      <c r="Q24" s="2">
        <f t="shared" si="5"/>
        <v>11939.965</v>
      </c>
      <c r="R24" s="2"/>
      <c r="S24" s="2"/>
      <c r="T24" s="2"/>
    </row>
    <row r="25" spans="1:21" x14ac:dyDescent="0.2">
      <c r="A25" s="51" t="s">
        <v>69</v>
      </c>
      <c r="B25" s="52" t="s">
        <v>34</v>
      </c>
      <c r="C25" s="51">
        <v>26958.530999999999</v>
      </c>
      <c r="D25" s="51" t="s">
        <v>62</v>
      </c>
      <c r="E25">
        <f t="shared" si="0"/>
        <v>271.00165500179656</v>
      </c>
      <c r="F25">
        <f t="shared" si="1"/>
        <v>271</v>
      </c>
      <c r="G25">
        <f t="shared" si="2"/>
        <v>8.1239999999525025E-3</v>
      </c>
      <c r="H25">
        <f t="shared" si="3"/>
        <v>8.1239999999525025E-3</v>
      </c>
      <c r="O25">
        <f t="shared" ca="1" si="4"/>
        <v>-6.2482316686815698E-2</v>
      </c>
      <c r="Q25" s="2">
        <f t="shared" si="5"/>
        <v>11940.030999999999</v>
      </c>
      <c r="R25" s="2"/>
      <c r="S25" s="2"/>
      <c r="T25" s="2"/>
    </row>
    <row r="26" spans="1:21" x14ac:dyDescent="0.2">
      <c r="A26" s="51" t="s">
        <v>69</v>
      </c>
      <c r="B26" s="52" t="s">
        <v>34</v>
      </c>
      <c r="C26" s="51">
        <v>27395.288</v>
      </c>
      <c r="D26" s="51" t="s">
        <v>62</v>
      </c>
      <c r="E26">
        <f t="shared" si="0"/>
        <v>359.97674359858189</v>
      </c>
      <c r="F26">
        <f t="shared" si="1"/>
        <v>360</v>
      </c>
      <c r="G26">
        <f t="shared" si="2"/>
        <v>-0.11416000000099302</v>
      </c>
      <c r="H26">
        <f t="shared" si="3"/>
        <v>-0.11416000000099302</v>
      </c>
      <c r="O26">
        <f t="shared" ca="1" si="4"/>
        <v>-5.966360417148206E-2</v>
      </c>
      <c r="Q26" s="2">
        <f t="shared" si="5"/>
        <v>12376.788</v>
      </c>
      <c r="R26" s="2"/>
      <c r="S26" s="2"/>
      <c r="T26" s="2"/>
    </row>
    <row r="27" spans="1:21" x14ac:dyDescent="0.2">
      <c r="A27" s="51" t="s">
        <v>69</v>
      </c>
      <c r="B27" s="52" t="s">
        <v>34</v>
      </c>
      <c r="C27" s="51">
        <v>29167.378000000001</v>
      </c>
      <c r="D27" s="51" t="s">
        <v>62</v>
      </c>
      <c r="E27">
        <f t="shared" si="0"/>
        <v>720.98266852131178</v>
      </c>
      <c r="F27">
        <f t="shared" si="1"/>
        <v>721</v>
      </c>
      <c r="G27">
        <f t="shared" si="2"/>
        <v>-8.5075999999389751E-2</v>
      </c>
      <c r="H27">
        <f t="shared" si="3"/>
        <v>-8.5075999999389751E-2</v>
      </c>
      <c r="O27">
        <f t="shared" ca="1" si="4"/>
        <v>-4.8230399474454594E-2</v>
      </c>
      <c r="Q27" s="2">
        <f t="shared" si="5"/>
        <v>14148.878000000001</v>
      </c>
      <c r="R27" s="2"/>
      <c r="S27" s="2"/>
      <c r="T27" s="2"/>
    </row>
    <row r="28" spans="1:21" x14ac:dyDescent="0.2">
      <c r="A28" s="51" t="s">
        <v>69</v>
      </c>
      <c r="B28" s="52" t="s">
        <v>34</v>
      </c>
      <c r="C28" s="51">
        <v>29167.399000000001</v>
      </c>
      <c r="D28" s="51" t="s">
        <v>62</v>
      </c>
      <c r="E28">
        <f t="shared" si="0"/>
        <v>720.98694659094906</v>
      </c>
      <c r="F28">
        <f t="shared" si="1"/>
        <v>721</v>
      </c>
      <c r="G28">
        <f t="shared" si="2"/>
        <v>-6.4075999998749467E-2</v>
      </c>
      <c r="H28">
        <f t="shared" si="3"/>
        <v>-6.4075999998749467E-2</v>
      </c>
      <c r="O28">
        <f t="shared" ca="1" si="4"/>
        <v>-4.8230399474454594E-2</v>
      </c>
      <c r="Q28" s="2">
        <f t="shared" si="5"/>
        <v>14148.899000000001</v>
      </c>
      <c r="R28" s="2"/>
      <c r="S28" s="2"/>
      <c r="T28" s="2"/>
    </row>
    <row r="29" spans="1:21" x14ac:dyDescent="0.2">
      <c r="A29" s="51" t="s">
        <v>69</v>
      </c>
      <c r="B29" s="52" t="s">
        <v>34</v>
      </c>
      <c r="C29" s="51">
        <v>36486.394999999997</v>
      </c>
      <c r="D29" s="51" t="s">
        <v>62</v>
      </c>
      <c r="E29">
        <f t="shared" si="0"/>
        <v>2211.9952590839707</v>
      </c>
      <c r="F29">
        <f t="shared" si="1"/>
        <v>2212</v>
      </c>
      <c r="G29">
        <f t="shared" si="2"/>
        <v>-2.3272000005817972E-2</v>
      </c>
      <c r="H29">
        <f t="shared" si="3"/>
        <v>-2.3272000005817972E-2</v>
      </c>
      <c r="O29">
        <f t="shared" ca="1" si="4"/>
        <v>-1.0090471108314819E-3</v>
      </c>
      <c r="Q29" s="2">
        <f t="shared" si="5"/>
        <v>21467.894999999997</v>
      </c>
      <c r="R29" s="2"/>
      <c r="S29" s="2"/>
      <c r="T29" s="2"/>
    </row>
    <row r="30" spans="1:21" x14ac:dyDescent="0.2">
      <c r="A30" s="51" t="s">
        <v>95</v>
      </c>
      <c r="B30" s="52" t="s">
        <v>34</v>
      </c>
      <c r="C30" s="51">
        <v>37016.472999999998</v>
      </c>
      <c r="D30" s="51" t="s">
        <v>62</v>
      </c>
      <c r="E30">
        <f t="shared" si="0"/>
        <v>2319.9814779956464</v>
      </c>
      <c r="F30">
        <f t="shared" si="1"/>
        <v>2320</v>
      </c>
      <c r="G30">
        <f t="shared" si="2"/>
        <v>-9.0920000002370216E-2</v>
      </c>
      <c r="I30">
        <f>+G30</f>
        <v>-9.0920000002370216E-2</v>
      </c>
      <c r="O30">
        <f t="shared" ca="1" si="4"/>
        <v>2.4114130201351724E-3</v>
      </c>
      <c r="Q30" s="2">
        <f t="shared" si="5"/>
        <v>21997.972999999998</v>
      </c>
      <c r="R30" s="2"/>
      <c r="S30" s="2"/>
      <c r="T30" s="2"/>
    </row>
    <row r="31" spans="1:21" x14ac:dyDescent="0.2">
      <c r="A31" s="51" t="s">
        <v>95</v>
      </c>
      <c r="B31" s="52" t="s">
        <v>34</v>
      </c>
      <c r="C31" s="51">
        <v>37399.42</v>
      </c>
      <c r="D31" s="51" t="s">
        <v>62</v>
      </c>
      <c r="E31">
        <f t="shared" si="0"/>
        <v>2397.9945224411231</v>
      </c>
      <c r="F31">
        <f t="shared" si="1"/>
        <v>2398</v>
      </c>
      <c r="G31">
        <f t="shared" si="2"/>
        <v>-2.6888000000326429E-2</v>
      </c>
      <c r="I31">
        <f>+G31</f>
        <v>-2.6888000000326429E-2</v>
      </c>
      <c r="O31">
        <f t="shared" ca="1" si="4"/>
        <v>4.8817453369444375E-3</v>
      </c>
      <c r="Q31" s="2">
        <f t="shared" si="5"/>
        <v>22380.92</v>
      </c>
      <c r="R31" s="2"/>
      <c r="S31" s="2"/>
      <c r="T31" s="2"/>
    </row>
    <row r="32" spans="1:21" x14ac:dyDescent="0.2">
      <c r="A32" s="51" t="s">
        <v>69</v>
      </c>
      <c r="B32" s="52" t="s">
        <v>34</v>
      </c>
      <c r="C32" s="51">
        <v>37561.402000000002</v>
      </c>
      <c r="D32" s="51" t="s">
        <v>62</v>
      </c>
      <c r="E32">
        <f t="shared" si="0"/>
        <v>2430.9931070112266</v>
      </c>
      <c r="F32">
        <f t="shared" si="1"/>
        <v>2431</v>
      </c>
      <c r="G32">
        <f t="shared" si="2"/>
        <v>-3.3836000002338551E-2</v>
      </c>
      <c r="H32">
        <f>+G32</f>
        <v>-3.3836000002338551E-2</v>
      </c>
      <c r="O32">
        <f t="shared" ca="1" si="4"/>
        <v>5.9268859325175838E-3</v>
      </c>
      <c r="Q32" s="2">
        <f t="shared" si="5"/>
        <v>22542.902000000002</v>
      </c>
      <c r="R32" s="2"/>
      <c r="S32" s="2"/>
      <c r="T32" s="2"/>
    </row>
    <row r="33" spans="1:21" x14ac:dyDescent="0.2">
      <c r="A33" s="51" t="s">
        <v>69</v>
      </c>
      <c r="B33" s="52" t="s">
        <v>34</v>
      </c>
      <c r="C33" s="51">
        <v>37561.451999999997</v>
      </c>
      <c r="D33" s="51" t="s">
        <v>62</v>
      </c>
      <c r="E33">
        <f t="shared" si="0"/>
        <v>2431.0032928913142</v>
      </c>
      <c r="F33">
        <f t="shared" si="1"/>
        <v>2431</v>
      </c>
      <c r="G33">
        <f t="shared" si="2"/>
        <v>1.6163999993295874E-2</v>
      </c>
      <c r="H33">
        <f>+G33</f>
        <v>1.6163999993295874E-2</v>
      </c>
      <c r="O33">
        <f t="shared" ca="1" si="4"/>
        <v>5.9268859325175838E-3</v>
      </c>
      <c r="Q33" s="2">
        <f t="shared" si="5"/>
        <v>22542.951999999997</v>
      </c>
      <c r="R33" s="2"/>
      <c r="S33" s="2"/>
      <c r="T33" s="2"/>
    </row>
    <row r="34" spans="1:21" x14ac:dyDescent="0.2">
      <c r="A34" s="51" t="s">
        <v>69</v>
      </c>
      <c r="B34" s="52" t="s">
        <v>34</v>
      </c>
      <c r="C34" s="51">
        <v>37615.339999999997</v>
      </c>
      <c r="D34" s="51" t="s">
        <v>62</v>
      </c>
      <c r="E34">
        <f t="shared" si="0"/>
        <v>2441.9812270155608</v>
      </c>
      <c r="F34">
        <f t="shared" si="1"/>
        <v>2442</v>
      </c>
      <c r="G34">
        <f t="shared" si="2"/>
        <v>-9.2152000004716683E-2</v>
      </c>
      <c r="H34">
        <f>+G34</f>
        <v>-9.2152000004716683E-2</v>
      </c>
      <c r="O34">
        <f t="shared" ca="1" si="4"/>
        <v>6.2752661310419705E-3</v>
      </c>
      <c r="Q34" s="2">
        <f t="shared" si="5"/>
        <v>22596.839999999997</v>
      </c>
      <c r="R34" s="2"/>
      <c r="S34" s="2"/>
      <c r="T34" s="2"/>
    </row>
    <row r="35" spans="1:21" x14ac:dyDescent="0.2">
      <c r="A35" s="51" t="s">
        <v>95</v>
      </c>
      <c r="B35" s="52" t="s">
        <v>34</v>
      </c>
      <c r="C35" s="51">
        <v>39387.561999999998</v>
      </c>
      <c r="D35" s="51" t="s">
        <v>62</v>
      </c>
      <c r="E35">
        <f t="shared" si="0"/>
        <v>2803.0140426617245</v>
      </c>
      <c r="F35">
        <f t="shared" si="1"/>
        <v>2803</v>
      </c>
      <c r="G35">
        <f t="shared" si="2"/>
        <v>6.8931999994674698E-2</v>
      </c>
      <c r="I35">
        <f>+G35</f>
        <v>6.8931999994674698E-2</v>
      </c>
      <c r="O35">
        <f t="shared" ca="1" si="4"/>
        <v>1.7708470828069423E-2</v>
      </c>
      <c r="Q35" s="2">
        <f t="shared" si="5"/>
        <v>24369.061999999998</v>
      </c>
      <c r="R35" s="2"/>
      <c r="S35" s="2"/>
      <c r="T35" s="2"/>
    </row>
    <row r="36" spans="1:21" x14ac:dyDescent="0.2">
      <c r="A36" s="51" t="s">
        <v>115</v>
      </c>
      <c r="B36" s="52" t="s">
        <v>34</v>
      </c>
      <c r="C36" s="51">
        <v>39451.4</v>
      </c>
      <c r="D36" s="51" t="s">
        <v>62</v>
      </c>
      <c r="E36">
        <f t="shared" si="0"/>
        <v>2816.0189669235956</v>
      </c>
      <c r="F36">
        <f t="shared" si="1"/>
        <v>2816</v>
      </c>
      <c r="G36">
        <f t="shared" si="2"/>
        <v>9.310399999958463E-2</v>
      </c>
      <c r="I36">
        <f>+G36</f>
        <v>9.310399999958463E-2</v>
      </c>
      <c r="O36">
        <f t="shared" ca="1" si="4"/>
        <v>1.8120192880870967E-2</v>
      </c>
      <c r="Q36" s="2">
        <f t="shared" si="5"/>
        <v>24432.9</v>
      </c>
      <c r="R36" s="2"/>
      <c r="S36" s="2"/>
      <c r="T36" s="2"/>
    </row>
    <row r="37" spans="1:21" x14ac:dyDescent="0.2">
      <c r="A37" s="51" t="s">
        <v>115</v>
      </c>
      <c r="B37" s="52" t="s">
        <v>34</v>
      </c>
      <c r="C37" s="51">
        <v>39466.154000000002</v>
      </c>
      <c r="D37" s="51" t="s">
        <v>62</v>
      </c>
      <c r="E37">
        <f t="shared" si="0"/>
        <v>2819.024616420128</v>
      </c>
      <c r="F37">
        <f t="shared" si="1"/>
        <v>2819</v>
      </c>
      <c r="G37">
        <f t="shared" si="2"/>
        <v>0.12083600000187289</v>
      </c>
      <c r="I37">
        <f>+G37</f>
        <v>0.12083600000187289</v>
      </c>
      <c r="O37">
        <f t="shared" ca="1" si="4"/>
        <v>1.821520566228671E-2</v>
      </c>
      <c r="Q37" s="2">
        <f t="shared" si="5"/>
        <v>24447.654000000002</v>
      </c>
      <c r="R37" s="2"/>
      <c r="S37" s="2"/>
      <c r="T37" s="2"/>
    </row>
    <row r="38" spans="1:21" x14ac:dyDescent="0.2">
      <c r="A38" s="51" t="s">
        <v>95</v>
      </c>
      <c r="B38" s="52" t="s">
        <v>34</v>
      </c>
      <c r="C38" s="51">
        <v>41601.315999999999</v>
      </c>
      <c r="D38" s="51" t="s">
        <v>62</v>
      </c>
      <c r="E38">
        <f t="shared" si="0"/>
        <v>3253.9946984531312</v>
      </c>
      <c r="F38">
        <f t="shared" si="1"/>
        <v>3254</v>
      </c>
      <c r="G38">
        <f t="shared" si="2"/>
        <v>-2.602399999886984E-2</v>
      </c>
      <c r="I38">
        <f>+G38</f>
        <v>-2.602399999886984E-2</v>
      </c>
      <c r="O38">
        <f t="shared" ca="1" si="4"/>
        <v>3.1992058967569112E-2</v>
      </c>
      <c r="Q38" s="2">
        <f t="shared" si="5"/>
        <v>26582.815999999999</v>
      </c>
      <c r="R38" s="2"/>
      <c r="S38" s="2"/>
      <c r="T38" s="2"/>
    </row>
    <row r="39" spans="1:21" x14ac:dyDescent="0.2">
      <c r="A39" s="51" t="s">
        <v>127</v>
      </c>
      <c r="B39" s="52" t="s">
        <v>34</v>
      </c>
      <c r="C39" s="51">
        <v>44114.508000000002</v>
      </c>
      <c r="D39" s="51" t="s">
        <v>62</v>
      </c>
      <c r="E39">
        <f t="shared" si="0"/>
        <v>3765.976145483703</v>
      </c>
      <c r="F39">
        <f t="shared" si="1"/>
        <v>3766</v>
      </c>
      <c r="G39">
        <f t="shared" si="2"/>
        <v>-0.11709600000176579</v>
      </c>
      <c r="I39">
        <f>+G39</f>
        <v>-0.11709600000176579</v>
      </c>
      <c r="O39">
        <f t="shared" ca="1" si="4"/>
        <v>4.820757366252218E-2</v>
      </c>
      <c r="Q39" s="2">
        <f t="shared" si="5"/>
        <v>29096.008000000002</v>
      </c>
      <c r="R39" s="2"/>
      <c r="S39" s="2"/>
      <c r="T39" s="2"/>
    </row>
    <row r="40" spans="1:21" x14ac:dyDescent="0.2">
      <c r="A40" s="51" t="s">
        <v>134</v>
      </c>
      <c r="B40" s="52" t="s">
        <v>34</v>
      </c>
      <c r="C40" s="51">
        <v>47462.527900000001</v>
      </c>
      <c r="D40" s="51" t="s">
        <v>62</v>
      </c>
      <c r="E40">
        <f t="shared" si="0"/>
        <v>4448.0267301939639</v>
      </c>
      <c r="F40">
        <f t="shared" si="1"/>
        <v>4448</v>
      </c>
      <c r="G40">
        <f t="shared" si="2"/>
        <v>0.13121200000023236</v>
      </c>
      <c r="J40">
        <f>+G40</f>
        <v>0.13121200000023236</v>
      </c>
      <c r="O40">
        <f t="shared" ca="1" si="4"/>
        <v>6.9807145971033893E-2</v>
      </c>
      <c r="Q40" s="2">
        <f t="shared" si="5"/>
        <v>32444.027900000001</v>
      </c>
      <c r="R40" s="2"/>
      <c r="S40" s="2"/>
      <c r="T40" s="2"/>
    </row>
    <row r="41" spans="1:21" x14ac:dyDescent="0.2">
      <c r="A41" s="53" t="s">
        <v>48</v>
      </c>
      <c r="B41" s="54" t="s">
        <v>34</v>
      </c>
      <c r="C41" s="55">
        <v>51060.637999999999</v>
      </c>
      <c r="D41" s="36"/>
      <c r="E41">
        <f t="shared" si="0"/>
        <v>5181.0250906747042</v>
      </c>
      <c r="F41">
        <f t="shared" si="1"/>
        <v>5181</v>
      </c>
      <c r="G41">
        <f t="shared" si="2"/>
        <v>0.12316399999690475</v>
      </c>
      <c r="I41">
        <f t="shared" ref="I41:I46" si="6">+G41</f>
        <v>0.12316399999690475</v>
      </c>
      <c r="O41">
        <f t="shared" ca="1" si="4"/>
        <v>9.3021935563613198E-2</v>
      </c>
      <c r="Q41" s="2">
        <f t="shared" si="5"/>
        <v>36042.137999999999</v>
      </c>
      <c r="R41" s="2"/>
      <c r="S41" s="2"/>
      <c r="T41" s="2"/>
    </row>
    <row r="42" spans="1:21" x14ac:dyDescent="0.2">
      <c r="A42" s="51" t="s">
        <v>144</v>
      </c>
      <c r="B42" s="52" t="s">
        <v>34</v>
      </c>
      <c r="C42" s="51">
        <v>52096.389000000003</v>
      </c>
      <c r="D42" s="51" t="s">
        <v>62</v>
      </c>
      <c r="E42">
        <f t="shared" si="0"/>
        <v>5392.0258004268289</v>
      </c>
      <c r="F42">
        <f t="shared" si="1"/>
        <v>5392</v>
      </c>
      <c r="G42">
        <f t="shared" si="2"/>
        <v>0.12664799999765819</v>
      </c>
      <c r="I42">
        <f t="shared" si="6"/>
        <v>0.12664799999765819</v>
      </c>
      <c r="O42">
        <f t="shared" ca="1" si="4"/>
        <v>9.970450118985362E-2</v>
      </c>
      <c r="Q42" s="2">
        <f t="shared" si="5"/>
        <v>37077.889000000003</v>
      </c>
      <c r="R42" s="2"/>
      <c r="S42" s="2"/>
      <c r="T42" s="2"/>
    </row>
    <row r="43" spans="1:21" x14ac:dyDescent="0.2">
      <c r="A43" s="11" t="s">
        <v>33</v>
      </c>
      <c r="B43" s="12" t="s">
        <v>34</v>
      </c>
      <c r="C43" s="13">
        <v>52145.476999999999</v>
      </c>
      <c r="D43" s="13">
        <v>1.2E-2</v>
      </c>
      <c r="E43">
        <f t="shared" si="0"/>
        <v>5402.0258900625731</v>
      </c>
      <c r="F43">
        <f t="shared" si="1"/>
        <v>5402</v>
      </c>
      <c r="G43">
        <f t="shared" si="2"/>
        <v>0.12708799999381881</v>
      </c>
      <c r="I43">
        <f t="shared" si="6"/>
        <v>0.12708799999381881</v>
      </c>
      <c r="O43">
        <f t="shared" ca="1" si="4"/>
        <v>0.10002121046123942</v>
      </c>
      <c r="Q43" s="2">
        <f t="shared" si="5"/>
        <v>37126.976999999999</v>
      </c>
      <c r="R43" s="2"/>
      <c r="S43" s="2"/>
      <c r="T43" s="2"/>
    </row>
    <row r="44" spans="1:21" x14ac:dyDescent="0.2">
      <c r="A44" s="51" t="s">
        <v>152</v>
      </c>
      <c r="B44" s="52" t="s">
        <v>34</v>
      </c>
      <c r="C44" s="51">
        <v>52862.15</v>
      </c>
      <c r="D44" s="51" t="s">
        <v>62</v>
      </c>
      <c r="E44">
        <f t="shared" si="0"/>
        <v>5548.0247948767465</v>
      </c>
      <c r="F44">
        <f t="shared" si="1"/>
        <v>5548</v>
      </c>
      <c r="G44">
        <f t="shared" si="2"/>
        <v>0.12171200000011595</v>
      </c>
      <c r="I44">
        <f t="shared" si="6"/>
        <v>0.12171200000011595</v>
      </c>
      <c r="O44">
        <f t="shared" ca="1" si="4"/>
        <v>0.10464516582347215</v>
      </c>
      <c r="Q44" s="2">
        <f t="shared" si="5"/>
        <v>37843.65</v>
      </c>
      <c r="R44" s="2"/>
      <c r="S44" s="2"/>
      <c r="T44" s="2"/>
    </row>
    <row r="45" spans="1:21" x14ac:dyDescent="0.2">
      <c r="A45" s="31" t="s">
        <v>37</v>
      </c>
      <c r="B45" s="31"/>
      <c r="C45" s="32">
        <v>53632.828999999998</v>
      </c>
      <c r="D45" s="32">
        <v>8.0000000000000002E-3</v>
      </c>
      <c r="E45">
        <f t="shared" si="0"/>
        <v>5705.0256724921746</v>
      </c>
      <c r="F45">
        <f t="shared" si="1"/>
        <v>5705</v>
      </c>
      <c r="G45">
        <f t="shared" si="2"/>
        <v>0.12601999999606051</v>
      </c>
      <c r="I45">
        <f t="shared" si="6"/>
        <v>0.12601999999606051</v>
      </c>
      <c r="O45">
        <f t="shared" ca="1" si="4"/>
        <v>0.10961750138422922</v>
      </c>
      <c r="Q45" s="2">
        <f t="shared" si="5"/>
        <v>38614.328999999998</v>
      </c>
      <c r="R45" s="2"/>
      <c r="S45" s="2"/>
      <c r="T45" s="2"/>
    </row>
    <row r="46" spans="1:21" x14ac:dyDescent="0.2">
      <c r="A46" s="51" t="s">
        <v>161</v>
      </c>
      <c r="B46" s="52" t="s">
        <v>34</v>
      </c>
      <c r="C46" s="51">
        <v>53966.65</v>
      </c>
      <c r="D46" s="51" t="s">
        <v>62</v>
      </c>
      <c r="E46">
        <f t="shared" si="0"/>
        <v>5773.0308860330397</v>
      </c>
      <c r="F46">
        <f t="shared" si="1"/>
        <v>5773</v>
      </c>
      <c r="G46">
        <f t="shared" si="2"/>
        <v>0.15161199999420205</v>
      </c>
      <c r="I46">
        <f t="shared" si="6"/>
        <v>0.15161199999420205</v>
      </c>
      <c r="O46">
        <f t="shared" ca="1" si="4"/>
        <v>0.11177112442965269</v>
      </c>
      <c r="Q46" s="2">
        <f t="shared" si="5"/>
        <v>38948.15</v>
      </c>
      <c r="R46" s="2"/>
      <c r="S46" s="2"/>
      <c r="T46" s="2"/>
    </row>
    <row r="47" spans="1:21" x14ac:dyDescent="0.2">
      <c r="A47" s="31" t="s">
        <v>38</v>
      </c>
      <c r="B47" s="33" t="s">
        <v>34</v>
      </c>
      <c r="C47" s="32">
        <v>54210.441610000002</v>
      </c>
      <c r="D47" s="32">
        <v>2.0000000000000001E-4</v>
      </c>
      <c r="E47">
        <f t="shared" si="0"/>
        <v>5822.6955281541796</v>
      </c>
      <c r="F47">
        <f t="shared" si="1"/>
        <v>5822.5</v>
      </c>
      <c r="O47">
        <f t="shared" ca="1" si="4"/>
        <v>0.11333883532301241</v>
      </c>
      <c r="Q47" s="2">
        <f t="shared" si="5"/>
        <v>39191.941610000002</v>
      </c>
      <c r="R47" s="2"/>
      <c r="S47" s="2"/>
      <c r="T47" s="2"/>
      <c r="U47">
        <v>0.95980000000417931</v>
      </c>
    </row>
    <row r="48" spans="1:21" x14ac:dyDescent="0.2">
      <c r="A48" s="34" t="s">
        <v>45</v>
      </c>
      <c r="B48" s="35" t="s">
        <v>34</v>
      </c>
      <c r="C48" s="34">
        <v>55645.404900000001</v>
      </c>
      <c r="D48" s="34">
        <v>1.47E-2</v>
      </c>
      <c r="E48">
        <f t="shared" si="0"/>
        <v>6115.022808222694</v>
      </c>
      <c r="F48">
        <f t="shared" si="1"/>
        <v>6115</v>
      </c>
      <c r="G48">
        <f>+C48-(C$7+F48*C$8)</f>
        <v>0.11196000000200002</v>
      </c>
      <c r="J48">
        <f>+G48</f>
        <v>0.11196000000200002</v>
      </c>
      <c r="O48">
        <f t="shared" ca="1" si="4"/>
        <v>0.12260258151104712</v>
      </c>
      <c r="Q48" s="2">
        <f t="shared" si="5"/>
        <v>40626.904900000001</v>
      </c>
      <c r="R48" s="2"/>
      <c r="S48" s="2"/>
      <c r="T48" s="2"/>
    </row>
    <row r="49" spans="1:20" x14ac:dyDescent="0.2">
      <c r="A49" s="34" t="s">
        <v>46</v>
      </c>
      <c r="B49" s="35" t="s">
        <v>47</v>
      </c>
      <c r="C49" s="34">
        <v>55834.406940000001</v>
      </c>
      <c r="D49" s="34">
        <v>1.2800000000000001E-3</v>
      </c>
      <c r="E49">
        <f>+(C49-C$7)/C$8</f>
        <v>6153.5258505413585</v>
      </c>
      <c r="F49">
        <f>ROUND(2*E49,0)/2</f>
        <v>6153.5</v>
      </c>
      <c r="G49">
        <f>+C49-(C$7+F49*C$8)</f>
        <v>0.12689400000090245</v>
      </c>
      <c r="K49">
        <f>+G49</f>
        <v>0.12689400000090245</v>
      </c>
      <c r="O49">
        <f ca="1">+C$11+C$12*$F49</f>
        <v>0.12382191220588247</v>
      </c>
      <c r="Q49" s="2">
        <f>+C49-15018.5</f>
        <v>40815.906940000001</v>
      </c>
      <c r="R49" s="2"/>
      <c r="S49" s="2"/>
      <c r="T49" s="2"/>
    </row>
    <row r="50" spans="1:20" x14ac:dyDescent="0.2">
      <c r="A50" s="56" t="s">
        <v>0</v>
      </c>
      <c r="B50" s="57" t="s">
        <v>34</v>
      </c>
      <c r="C50" s="58">
        <v>57260.396999999997</v>
      </c>
      <c r="D50" s="58" t="s">
        <v>1</v>
      </c>
      <c r="E50">
        <f>+(C50-C$7)/C$8</f>
        <v>6444.0251257141308</v>
      </c>
      <c r="F50">
        <f>ROUND(2*E50,0)/2</f>
        <v>6444</v>
      </c>
      <c r="G50">
        <f>+C50-(C$7+F50*C$8)</f>
        <v>0.12333599998964928</v>
      </c>
      <c r="K50">
        <f>+G50</f>
        <v>0.12333599998964928</v>
      </c>
      <c r="O50">
        <f ca="1">+C$11+C$12*$F50</f>
        <v>0.13302231653964003</v>
      </c>
      <c r="Q50" s="2">
        <f>+C50-15018.5</f>
        <v>42241.896999999997</v>
      </c>
    </row>
    <row r="51" spans="1:20" x14ac:dyDescent="0.2">
      <c r="A51" s="59" t="s">
        <v>173</v>
      </c>
      <c r="B51" s="60" t="s">
        <v>34</v>
      </c>
      <c r="C51" s="61">
        <v>59459.514900000002</v>
      </c>
      <c r="D51" s="59">
        <v>5.9999999999999995E-4</v>
      </c>
      <c r="E51">
        <f>+(C51-C$7)/C$8</f>
        <v>6892.0241503142543</v>
      </c>
      <c r="F51">
        <f>ROUND(2*E51,0)/2</f>
        <v>6892</v>
      </c>
      <c r="G51">
        <f>+C51-(C$7+F51*C$8)</f>
        <v>0.11854799999855459</v>
      </c>
      <c r="K51">
        <f>+G51</f>
        <v>0.11854799999855459</v>
      </c>
      <c r="O51">
        <f ca="1">+C$11+C$12*$F51</f>
        <v>0.14721089189772396</v>
      </c>
      <c r="Q51" s="2">
        <f>+C51-15018.5</f>
        <v>44441.014900000002</v>
      </c>
    </row>
    <row r="52" spans="1:20" x14ac:dyDescent="0.2">
      <c r="B52" s="3"/>
      <c r="C52" s="14"/>
      <c r="D52" s="14"/>
    </row>
    <row r="53" spans="1:20" x14ac:dyDescent="0.2">
      <c r="B53" s="3"/>
      <c r="C53" s="14"/>
      <c r="D53" s="14"/>
    </row>
    <row r="54" spans="1:20" x14ac:dyDescent="0.2">
      <c r="B54" s="3"/>
      <c r="C54" s="14"/>
      <c r="D54" s="14"/>
    </row>
    <row r="55" spans="1:20" x14ac:dyDescent="0.2">
      <c r="B55" s="3"/>
      <c r="C55" s="14"/>
      <c r="D55" s="14"/>
    </row>
    <row r="56" spans="1:20" x14ac:dyDescent="0.2">
      <c r="B56" s="3"/>
      <c r="C56" s="14"/>
      <c r="D56" s="14"/>
    </row>
    <row r="57" spans="1:20" x14ac:dyDescent="0.2">
      <c r="B57" s="3"/>
      <c r="C57" s="14"/>
      <c r="D57" s="14"/>
    </row>
    <row r="58" spans="1:20" x14ac:dyDescent="0.2">
      <c r="B58" s="3"/>
      <c r="C58" s="14"/>
      <c r="D58" s="14"/>
    </row>
    <row r="59" spans="1:20" x14ac:dyDescent="0.2">
      <c r="B59" s="3"/>
      <c r="C59" s="14"/>
      <c r="D59" s="14"/>
    </row>
    <row r="60" spans="1:20" x14ac:dyDescent="0.2">
      <c r="B60" s="3"/>
      <c r="C60" s="14"/>
      <c r="D60" s="14"/>
    </row>
    <row r="61" spans="1:20" x14ac:dyDescent="0.2">
      <c r="B61" s="3"/>
      <c r="C61" s="14"/>
      <c r="D61" s="14"/>
    </row>
    <row r="62" spans="1:20" x14ac:dyDescent="0.2">
      <c r="C62" s="14"/>
      <c r="D62" s="14"/>
    </row>
    <row r="63" spans="1:20" x14ac:dyDescent="0.2">
      <c r="C63" s="14"/>
      <c r="D63" s="14"/>
    </row>
    <row r="64" spans="1:20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</sheetData>
  <phoneticPr fontId="8" type="noConversion"/>
  <hyperlinks>
    <hyperlink ref="H199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3"/>
  <sheetViews>
    <sheetView workbookViewId="0">
      <selection activeCell="A16" sqref="A16:D37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52</v>
      </c>
      <c r="I1" s="39" t="s">
        <v>53</v>
      </c>
      <c r="J1" s="40" t="s">
        <v>54</v>
      </c>
    </row>
    <row r="2" spans="1:16" x14ac:dyDescent="0.2">
      <c r="I2" s="41" t="s">
        <v>55</v>
      </c>
      <c r="J2" s="42" t="s">
        <v>56</v>
      </c>
    </row>
    <row r="3" spans="1:16" x14ac:dyDescent="0.2">
      <c r="A3" s="43" t="s">
        <v>57</v>
      </c>
      <c r="I3" s="41" t="s">
        <v>58</v>
      </c>
      <c r="J3" s="42" t="s">
        <v>59</v>
      </c>
    </row>
    <row r="4" spans="1:16" x14ac:dyDescent="0.2">
      <c r="I4" s="41" t="s">
        <v>60</v>
      </c>
      <c r="J4" s="42" t="s">
        <v>59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14" t="str">
        <f t="shared" ref="A11:A37" si="0">P11</f>
        <v> JAAVSO 41;122 </v>
      </c>
      <c r="B11" s="3" t="str">
        <f t="shared" ref="B11:B37" si="1">IF(H11=INT(H11),"I","II")</f>
        <v>I</v>
      </c>
      <c r="C11" s="14">
        <f t="shared" ref="C11:C37" si="2">1*G11</f>
        <v>51060.637999999999</v>
      </c>
      <c r="D11" s="10" t="str">
        <f t="shared" ref="D11:D37" si="3">VLOOKUP(F11,I$1:J$5,2,FALSE)</f>
        <v>vis</v>
      </c>
      <c r="E11" s="46">
        <f>VLOOKUP(C11,Active!C$21:E$973,3,FALSE)</f>
        <v>5181.0250906747042</v>
      </c>
      <c r="F11" s="3" t="s">
        <v>61</v>
      </c>
      <c r="G11" s="10" t="str">
        <f t="shared" ref="G11:G37" si="4">MID(I11,3,LEN(I11)-3)</f>
        <v>51060.638</v>
      </c>
      <c r="H11" s="14">
        <f t="shared" ref="H11:H37" si="5">1*K11</f>
        <v>5181</v>
      </c>
      <c r="I11" s="47" t="s">
        <v>135</v>
      </c>
      <c r="J11" s="48" t="s">
        <v>136</v>
      </c>
      <c r="K11" s="47">
        <v>5181</v>
      </c>
      <c r="L11" s="47" t="s">
        <v>137</v>
      </c>
      <c r="M11" s="48" t="s">
        <v>125</v>
      </c>
      <c r="N11" s="48"/>
      <c r="O11" s="49" t="s">
        <v>138</v>
      </c>
      <c r="P11" s="49" t="s">
        <v>139</v>
      </c>
    </row>
    <row r="12" spans="1:16" ht="12.75" customHeight="1" thickBot="1" x14ac:dyDescent="0.25">
      <c r="A12" s="14" t="str">
        <f t="shared" si="0"/>
        <v> BBS 129 </v>
      </c>
      <c r="B12" s="3" t="str">
        <f t="shared" si="1"/>
        <v>I</v>
      </c>
      <c r="C12" s="14">
        <f t="shared" si="2"/>
        <v>52145.476999999999</v>
      </c>
      <c r="D12" s="10" t="str">
        <f t="shared" si="3"/>
        <v>vis</v>
      </c>
      <c r="E12" s="46">
        <f>VLOOKUP(C12,Active!C$21:E$973,3,FALSE)</f>
        <v>5402.0258900625731</v>
      </c>
      <c r="F12" s="3" t="s">
        <v>61</v>
      </c>
      <c r="G12" s="10" t="str">
        <f t="shared" si="4"/>
        <v>52145.477</v>
      </c>
      <c r="H12" s="14">
        <f t="shared" si="5"/>
        <v>5402</v>
      </c>
      <c r="I12" s="47" t="s">
        <v>145</v>
      </c>
      <c r="J12" s="48" t="s">
        <v>146</v>
      </c>
      <c r="K12" s="47">
        <v>5402</v>
      </c>
      <c r="L12" s="47" t="s">
        <v>142</v>
      </c>
      <c r="M12" s="48" t="s">
        <v>125</v>
      </c>
      <c r="N12" s="48"/>
      <c r="O12" s="49" t="s">
        <v>147</v>
      </c>
      <c r="P12" s="49" t="s">
        <v>148</v>
      </c>
    </row>
    <row r="13" spans="1:16" ht="12.75" customHeight="1" thickBot="1" x14ac:dyDescent="0.25">
      <c r="A13" s="14" t="str">
        <f t="shared" si="0"/>
        <v>OEJV 0028 </v>
      </c>
      <c r="B13" s="3" t="str">
        <f t="shared" si="1"/>
        <v>I</v>
      </c>
      <c r="C13" s="14">
        <f t="shared" si="2"/>
        <v>53632.828999999998</v>
      </c>
      <c r="D13" s="10" t="str">
        <f t="shared" si="3"/>
        <v>vis</v>
      </c>
      <c r="E13" s="46">
        <f>VLOOKUP(C13,Active!C$21:E$973,3,FALSE)</f>
        <v>5705.0256724921746</v>
      </c>
      <c r="F13" s="3" t="s">
        <v>61</v>
      </c>
      <c r="G13" s="10" t="str">
        <f t="shared" si="4"/>
        <v>53632.829</v>
      </c>
      <c r="H13" s="14">
        <f t="shared" si="5"/>
        <v>5705</v>
      </c>
      <c r="I13" s="47" t="s">
        <v>153</v>
      </c>
      <c r="J13" s="48" t="s">
        <v>154</v>
      </c>
      <c r="K13" s="47">
        <v>5705</v>
      </c>
      <c r="L13" s="47" t="s">
        <v>155</v>
      </c>
      <c r="M13" s="48" t="s">
        <v>125</v>
      </c>
      <c r="N13" s="48"/>
      <c r="O13" s="49" t="s">
        <v>143</v>
      </c>
      <c r="P13" s="50" t="s">
        <v>156</v>
      </c>
    </row>
    <row r="14" spans="1:16" ht="12.75" customHeight="1" thickBot="1" x14ac:dyDescent="0.25">
      <c r="A14" s="14" t="str">
        <f t="shared" si="0"/>
        <v>BAVM 220 </v>
      </c>
      <c r="B14" s="3" t="str">
        <f t="shared" si="1"/>
        <v>I</v>
      </c>
      <c r="C14" s="14">
        <f t="shared" si="2"/>
        <v>55645.404900000001</v>
      </c>
      <c r="D14" s="10" t="str">
        <f t="shared" si="3"/>
        <v>vis</v>
      </c>
      <c r="E14" s="46">
        <f>VLOOKUP(C14,Active!C$21:E$973,3,FALSE)</f>
        <v>6115.022808222694</v>
      </c>
      <c r="F14" s="3" t="s">
        <v>61</v>
      </c>
      <c r="G14" s="10" t="str">
        <f t="shared" si="4"/>
        <v>55645.4049</v>
      </c>
      <c r="H14" s="14">
        <f t="shared" si="5"/>
        <v>6115</v>
      </c>
      <c r="I14" s="47" t="s">
        <v>162</v>
      </c>
      <c r="J14" s="48" t="s">
        <v>163</v>
      </c>
      <c r="K14" s="47">
        <v>6115</v>
      </c>
      <c r="L14" s="47" t="s">
        <v>164</v>
      </c>
      <c r="M14" s="48" t="s">
        <v>165</v>
      </c>
      <c r="N14" s="48" t="s">
        <v>61</v>
      </c>
      <c r="O14" s="49" t="s">
        <v>166</v>
      </c>
      <c r="P14" s="50" t="s">
        <v>167</v>
      </c>
    </row>
    <row r="15" spans="1:16" ht="12.75" customHeight="1" thickBot="1" x14ac:dyDescent="0.25">
      <c r="A15" s="14" t="str">
        <f t="shared" si="0"/>
        <v>IBVS 6007 </v>
      </c>
      <c r="B15" s="3" t="str">
        <f t="shared" si="1"/>
        <v>II</v>
      </c>
      <c r="C15" s="14">
        <f t="shared" si="2"/>
        <v>55834.406940000001</v>
      </c>
      <c r="D15" s="10" t="str">
        <f t="shared" si="3"/>
        <v>vis</v>
      </c>
      <c r="E15" s="46">
        <f>VLOOKUP(C15,Active!C$21:E$973,3,FALSE)</f>
        <v>6153.5258505413585</v>
      </c>
      <c r="F15" s="3" t="s">
        <v>61</v>
      </c>
      <c r="G15" s="10" t="str">
        <f t="shared" si="4"/>
        <v>55834.40694</v>
      </c>
      <c r="H15" s="14">
        <f t="shared" si="5"/>
        <v>6153.5</v>
      </c>
      <c r="I15" s="47" t="s">
        <v>168</v>
      </c>
      <c r="J15" s="48" t="s">
        <v>169</v>
      </c>
      <c r="K15" s="47">
        <v>6153.5</v>
      </c>
      <c r="L15" s="47" t="s">
        <v>170</v>
      </c>
      <c r="M15" s="48" t="s">
        <v>165</v>
      </c>
      <c r="N15" s="48" t="s">
        <v>53</v>
      </c>
      <c r="O15" s="49" t="s">
        <v>171</v>
      </c>
      <c r="P15" s="50" t="s">
        <v>172</v>
      </c>
    </row>
    <row r="16" spans="1:16" ht="12.75" customHeight="1" thickBot="1" x14ac:dyDescent="0.25">
      <c r="A16" s="14" t="str">
        <f t="shared" si="0"/>
        <v> MVS 649 </v>
      </c>
      <c r="B16" s="3" t="str">
        <f t="shared" si="1"/>
        <v>I</v>
      </c>
      <c r="C16" s="14">
        <f t="shared" si="2"/>
        <v>26649.352999999999</v>
      </c>
      <c r="D16" s="10" t="str">
        <f t="shared" si="3"/>
        <v>vis</v>
      </c>
      <c r="E16" s="46">
        <f>VLOOKUP(C16,Active!C$21:E$973,3,FALSE)</f>
        <v>208.0166543213798</v>
      </c>
      <c r="F16" s="3" t="s">
        <v>61</v>
      </c>
      <c r="G16" s="10" t="str">
        <f t="shared" si="4"/>
        <v>26649.353</v>
      </c>
      <c r="H16" s="14">
        <f t="shared" si="5"/>
        <v>208</v>
      </c>
      <c r="I16" s="47" t="s">
        <v>64</v>
      </c>
      <c r="J16" s="48" t="s">
        <v>65</v>
      </c>
      <c r="K16" s="47">
        <v>208</v>
      </c>
      <c r="L16" s="47" t="s">
        <v>66</v>
      </c>
      <c r="M16" s="48" t="s">
        <v>67</v>
      </c>
      <c r="N16" s="48"/>
      <c r="O16" s="49" t="s">
        <v>68</v>
      </c>
      <c r="P16" s="49" t="s">
        <v>69</v>
      </c>
    </row>
    <row r="17" spans="1:16" ht="12.75" customHeight="1" thickBot="1" x14ac:dyDescent="0.25">
      <c r="A17" s="14" t="str">
        <f t="shared" si="0"/>
        <v> MVS 649 </v>
      </c>
      <c r="B17" s="3" t="str">
        <f t="shared" si="1"/>
        <v>I</v>
      </c>
      <c r="C17" s="14">
        <f t="shared" si="2"/>
        <v>26958.442999999999</v>
      </c>
      <c r="D17" s="10" t="str">
        <f t="shared" si="3"/>
        <v>vis</v>
      </c>
      <c r="E17" s="46">
        <f>VLOOKUP(C17,Active!C$21:E$973,3,FALSE)</f>
        <v>270.98372785284079</v>
      </c>
      <c r="F17" s="3" t="s">
        <v>61</v>
      </c>
      <c r="G17" s="10" t="str">
        <f t="shared" si="4"/>
        <v>26958.443</v>
      </c>
      <c r="H17" s="14">
        <f t="shared" si="5"/>
        <v>271</v>
      </c>
      <c r="I17" s="47" t="s">
        <v>70</v>
      </c>
      <c r="J17" s="48" t="s">
        <v>71</v>
      </c>
      <c r="K17" s="47">
        <v>271</v>
      </c>
      <c r="L17" s="47" t="s">
        <v>72</v>
      </c>
      <c r="M17" s="48" t="s">
        <v>67</v>
      </c>
      <c r="N17" s="48"/>
      <c r="O17" s="49" t="s">
        <v>68</v>
      </c>
      <c r="P17" s="49" t="s">
        <v>69</v>
      </c>
    </row>
    <row r="18" spans="1:16" ht="12.75" customHeight="1" thickBot="1" x14ac:dyDescent="0.25">
      <c r="A18" s="14" t="str">
        <f t="shared" si="0"/>
        <v> MVS 649 </v>
      </c>
      <c r="B18" s="3" t="str">
        <f t="shared" si="1"/>
        <v>I</v>
      </c>
      <c r="C18" s="14">
        <f t="shared" si="2"/>
        <v>26958.465</v>
      </c>
      <c r="D18" s="10" t="str">
        <f t="shared" si="3"/>
        <v>vis</v>
      </c>
      <c r="E18" s="46">
        <f>VLOOKUP(C18,Active!C$21:E$973,3,FALSE)</f>
        <v>270.9882096400799</v>
      </c>
      <c r="F18" s="3" t="s">
        <v>61</v>
      </c>
      <c r="G18" s="10" t="str">
        <f t="shared" si="4"/>
        <v>26958.465</v>
      </c>
      <c r="H18" s="14">
        <f t="shared" si="5"/>
        <v>271</v>
      </c>
      <c r="I18" s="47" t="s">
        <v>73</v>
      </c>
      <c r="J18" s="48" t="s">
        <v>74</v>
      </c>
      <c r="K18" s="47">
        <v>271</v>
      </c>
      <c r="L18" s="47" t="s">
        <v>75</v>
      </c>
      <c r="M18" s="48" t="s">
        <v>67</v>
      </c>
      <c r="N18" s="48"/>
      <c r="O18" s="49" t="s">
        <v>68</v>
      </c>
      <c r="P18" s="49" t="s">
        <v>69</v>
      </c>
    </row>
    <row r="19" spans="1:16" ht="12.75" customHeight="1" thickBot="1" x14ac:dyDescent="0.25">
      <c r="A19" s="14" t="str">
        <f t="shared" si="0"/>
        <v> MVS 649 </v>
      </c>
      <c r="B19" s="3" t="str">
        <f t="shared" si="1"/>
        <v>I</v>
      </c>
      <c r="C19" s="14">
        <f t="shared" si="2"/>
        <v>26958.530999999999</v>
      </c>
      <c r="D19" s="10" t="str">
        <f t="shared" si="3"/>
        <v>vis</v>
      </c>
      <c r="E19" s="46">
        <f>VLOOKUP(C19,Active!C$21:E$973,3,FALSE)</f>
        <v>271.00165500179656</v>
      </c>
      <c r="F19" s="3" t="s">
        <v>61</v>
      </c>
      <c r="G19" s="10" t="str">
        <f t="shared" si="4"/>
        <v>26958.531</v>
      </c>
      <c r="H19" s="14">
        <f t="shared" si="5"/>
        <v>271</v>
      </c>
      <c r="I19" s="47" t="s">
        <v>76</v>
      </c>
      <c r="J19" s="48" t="s">
        <v>77</v>
      </c>
      <c r="K19" s="47">
        <v>271</v>
      </c>
      <c r="L19" s="47" t="s">
        <v>78</v>
      </c>
      <c r="M19" s="48" t="s">
        <v>67</v>
      </c>
      <c r="N19" s="48"/>
      <c r="O19" s="49" t="s">
        <v>68</v>
      </c>
      <c r="P19" s="49" t="s">
        <v>69</v>
      </c>
    </row>
    <row r="20" spans="1:16" ht="12.75" customHeight="1" thickBot="1" x14ac:dyDescent="0.25">
      <c r="A20" s="14" t="str">
        <f t="shared" si="0"/>
        <v> MVS 649 </v>
      </c>
      <c r="B20" s="3" t="str">
        <f t="shared" si="1"/>
        <v>I</v>
      </c>
      <c r="C20" s="14">
        <f t="shared" si="2"/>
        <v>27395.288</v>
      </c>
      <c r="D20" s="10" t="str">
        <f t="shared" si="3"/>
        <v>vis</v>
      </c>
      <c r="E20" s="46">
        <f>VLOOKUP(C20,Active!C$21:E$973,3,FALSE)</f>
        <v>359.97674359858189</v>
      </c>
      <c r="F20" s="3" t="s">
        <v>61</v>
      </c>
      <c r="G20" s="10" t="str">
        <f t="shared" si="4"/>
        <v>27395.288</v>
      </c>
      <c r="H20" s="14">
        <f t="shared" si="5"/>
        <v>360</v>
      </c>
      <c r="I20" s="47" t="s">
        <v>79</v>
      </c>
      <c r="J20" s="48" t="s">
        <v>80</v>
      </c>
      <c r="K20" s="47">
        <v>360</v>
      </c>
      <c r="L20" s="47" t="s">
        <v>81</v>
      </c>
      <c r="M20" s="48" t="s">
        <v>67</v>
      </c>
      <c r="N20" s="48"/>
      <c r="O20" s="49" t="s">
        <v>68</v>
      </c>
      <c r="P20" s="49" t="s">
        <v>69</v>
      </c>
    </row>
    <row r="21" spans="1:16" ht="12.75" customHeight="1" thickBot="1" x14ac:dyDescent="0.25">
      <c r="A21" s="14" t="str">
        <f t="shared" si="0"/>
        <v> MVS 649 </v>
      </c>
      <c r="B21" s="3" t="str">
        <f t="shared" si="1"/>
        <v>I</v>
      </c>
      <c r="C21" s="14">
        <f t="shared" si="2"/>
        <v>29167.378000000001</v>
      </c>
      <c r="D21" s="10" t="str">
        <f t="shared" si="3"/>
        <v>vis</v>
      </c>
      <c r="E21" s="46">
        <f>VLOOKUP(C21,Active!C$21:E$973,3,FALSE)</f>
        <v>720.98266852131178</v>
      </c>
      <c r="F21" s="3" t="s">
        <v>61</v>
      </c>
      <c r="G21" s="10" t="str">
        <f t="shared" si="4"/>
        <v>29167.378</v>
      </c>
      <c r="H21" s="14">
        <f t="shared" si="5"/>
        <v>721</v>
      </c>
      <c r="I21" s="47" t="s">
        <v>82</v>
      </c>
      <c r="J21" s="48" t="s">
        <v>83</v>
      </c>
      <c r="K21" s="47">
        <v>721</v>
      </c>
      <c r="L21" s="47" t="s">
        <v>84</v>
      </c>
      <c r="M21" s="48" t="s">
        <v>67</v>
      </c>
      <c r="N21" s="48"/>
      <c r="O21" s="49" t="s">
        <v>68</v>
      </c>
      <c r="P21" s="49" t="s">
        <v>69</v>
      </c>
    </row>
    <row r="22" spans="1:16" ht="12.75" customHeight="1" thickBot="1" x14ac:dyDescent="0.25">
      <c r="A22" s="14" t="str">
        <f t="shared" si="0"/>
        <v> MVS 649 </v>
      </c>
      <c r="B22" s="3" t="str">
        <f t="shared" si="1"/>
        <v>I</v>
      </c>
      <c r="C22" s="14">
        <f t="shared" si="2"/>
        <v>29167.399000000001</v>
      </c>
      <c r="D22" s="10" t="str">
        <f t="shared" si="3"/>
        <v>vis</v>
      </c>
      <c r="E22" s="46">
        <f>VLOOKUP(C22,Active!C$21:E$973,3,FALSE)</f>
        <v>720.98694659094906</v>
      </c>
      <c r="F22" s="3" t="s">
        <v>61</v>
      </c>
      <c r="G22" s="10" t="str">
        <f t="shared" si="4"/>
        <v>29167.399</v>
      </c>
      <c r="H22" s="14">
        <f t="shared" si="5"/>
        <v>721</v>
      </c>
      <c r="I22" s="47" t="s">
        <v>85</v>
      </c>
      <c r="J22" s="48" t="s">
        <v>86</v>
      </c>
      <c r="K22" s="47">
        <v>721</v>
      </c>
      <c r="L22" s="47" t="s">
        <v>87</v>
      </c>
      <c r="M22" s="48" t="s">
        <v>67</v>
      </c>
      <c r="N22" s="48"/>
      <c r="O22" s="49" t="s">
        <v>68</v>
      </c>
      <c r="P22" s="49" t="s">
        <v>69</v>
      </c>
    </row>
    <row r="23" spans="1:16" ht="12.75" customHeight="1" thickBot="1" x14ac:dyDescent="0.25">
      <c r="A23" s="14" t="str">
        <f t="shared" si="0"/>
        <v> MVS 649 </v>
      </c>
      <c r="B23" s="3" t="str">
        <f t="shared" si="1"/>
        <v>I</v>
      </c>
      <c r="C23" s="14">
        <f t="shared" si="2"/>
        <v>36486.394999999997</v>
      </c>
      <c r="D23" s="10" t="str">
        <f t="shared" si="3"/>
        <v>vis</v>
      </c>
      <c r="E23" s="46">
        <f>VLOOKUP(C23,Active!C$21:E$973,3,FALSE)</f>
        <v>2211.9952590839707</v>
      </c>
      <c r="F23" s="3" t="s">
        <v>61</v>
      </c>
      <c r="G23" s="10" t="str">
        <f t="shared" si="4"/>
        <v>36486.395</v>
      </c>
      <c r="H23" s="14">
        <f t="shared" si="5"/>
        <v>2212</v>
      </c>
      <c r="I23" s="47" t="s">
        <v>88</v>
      </c>
      <c r="J23" s="48" t="s">
        <v>89</v>
      </c>
      <c r="K23" s="47">
        <v>2212</v>
      </c>
      <c r="L23" s="47" t="s">
        <v>90</v>
      </c>
      <c r="M23" s="48" t="s">
        <v>67</v>
      </c>
      <c r="N23" s="48"/>
      <c r="O23" s="49" t="s">
        <v>68</v>
      </c>
      <c r="P23" s="49" t="s">
        <v>69</v>
      </c>
    </row>
    <row r="24" spans="1:16" ht="12.75" customHeight="1" thickBot="1" x14ac:dyDescent="0.25">
      <c r="A24" s="14" t="str">
        <f t="shared" si="0"/>
        <v> HABZ 71 </v>
      </c>
      <c r="B24" s="3" t="str">
        <f t="shared" si="1"/>
        <v>I</v>
      </c>
      <c r="C24" s="14">
        <f t="shared" si="2"/>
        <v>37016.472999999998</v>
      </c>
      <c r="D24" s="10" t="str">
        <f t="shared" si="3"/>
        <v>vis</v>
      </c>
      <c r="E24" s="46">
        <f>VLOOKUP(C24,Active!C$21:E$973,3,FALSE)</f>
        <v>2319.9814779956464</v>
      </c>
      <c r="F24" s="3" t="s">
        <v>61</v>
      </c>
      <c r="G24" s="10" t="str">
        <f t="shared" si="4"/>
        <v>37016.473</v>
      </c>
      <c r="H24" s="14">
        <f t="shared" si="5"/>
        <v>2320</v>
      </c>
      <c r="I24" s="47" t="s">
        <v>91</v>
      </c>
      <c r="J24" s="48" t="s">
        <v>92</v>
      </c>
      <c r="K24" s="47">
        <v>2320</v>
      </c>
      <c r="L24" s="47" t="s">
        <v>93</v>
      </c>
      <c r="M24" s="48" t="s">
        <v>67</v>
      </c>
      <c r="N24" s="48"/>
      <c r="O24" s="49" t="s">
        <v>94</v>
      </c>
      <c r="P24" s="49" t="s">
        <v>95</v>
      </c>
    </row>
    <row r="25" spans="1:16" ht="12.75" customHeight="1" thickBot="1" x14ac:dyDescent="0.25">
      <c r="A25" s="14" t="str">
        <f t="shared" si="0"/>
        <v> HABZ 71 </v>
      </c>
      <c r="B25" s="3" t="str">
        <f t="shared" si="1"/>
        <v>I</v>
      </c>
      <c r="C25" s="14">
        <f t="shared" si="2"/>
        <v>37399.42</v>
      </c>
      <c r="D25" s="10" t="str">
        <f t="shared" si="3"/>
        <v>vis</v>
      </c>
      <c r="E25" s="46">
        <f>VLOOKUP(C25,Active!C$21:E$973,3,FALSE)</f>
        <v>2397.9945224411231</v>
      </c>
      <c r="F25" s="3" t="s">
        <v>61</v>
      </c>
      <c r="G25" s="10" t="str">
        <f t="shared" si="4"/>
        <v>37399.420</v>
      </c>
      <c r="H25" s="14">
        <f t="shared" si="5"/>
        <v>2398</v>
      </c>
      <c r="I25" s="47" t="s">
        <v>96</v>
      </c>
      <c r="J25" s="48" t="s">
        <v>97</v>
      </c>
      <c r="K25" s="47">
        <v>2398</v>
      </c>
      <c r="L25" s="47" t="s">
        <v>98</v>
      </c>
      <c r="M25" s="48" t="s">
        <v>67</v>
      </c>
      <c r="N25" s="48"/>
      <c r="O25" s="49" t="s">
        <v>94</v>
      </c>
      <c r="P25" s="49" t="s">
        <v>95</v>
      </c>
    </row>
    <row r="26" spans="1:16" ht="12.75" customHeight="1" thickBot="1" x14ac:dyDescent="0.25">
      <c r="A26" s="14" t="str">
        <f t="shared" si="0"/>
        <v> MVS 649 </v>
      </c>
      <c r="B26" s="3" t="str">
        <f t="shared" si="1"/>
        <v>I</v>
      </c>
      <c r="C26" s="14">
        <f t="shared" si="2"/>
        <v>37561.402000000002</v>
      </c>
      <c r="D26" s="10" t="str">
        <f t="shared" si="3"/>
        <v>vis</v>
      </c>
      <c r="E26" s="46">
        <f>VLOOKUP(C26,Active!C$21:E$973,3,FALSE)</f>
        <v>2430.9931070112266</v>
      </c>
      <c r="F26" s="3" t="s">
        <v>61</v>
      </c>
      <c r="G26" s="10" t="str">
        <f t="shared" si="4"/>
        <v>37561.402</v>
      </c>
      <c r="H26" s="14">
        <f t="shared" si="5"/>
        <v>2431</v>
      </c>
      <c r="I26" s="47" t="s">
        <v>99</v>
      </c>
      <c r="J26" s="48" t="s">
        <v>100</v>
      </c>
      <c r="K26" s="47">
        <v>2431</v>
      </c>
      <c r="L26" s="47" t="s">
        <v>101</v>
      </c>
      <c r="M26" s="48" t="s">
        <v>67</v>
      </c>
      <c r="N26" s="48"/>
      <c r="O26" s="49" t="s">
        <v>68</v>
      </c>
      <c r="P26" s="49" t="s">
        <v>69</v>
      </c>
    </row>
    <row r="27" spans="1:16" ht="12.75" customHeight="1" thickBot="1" x14ac:dyDescent="0.25">
      <c r="A27" s="14" t="str">
        <f t="shared" si="0"/>
        <v> MVS 649 </v>
      </c>
      <c r="B27" s="3" t="str">
        <f t="shared" si="1"/>
        <v>I</v>
      </c>
      <c r="C27" s="14">
        <f t="shared" si="2"/>
        <v>37561.451999999997</v>
      </c>
      <c r="D27" s="10" t="str">
        <f t="shared" si="3"/>
        <v>vis</v>
      </c>
      <c r="E27" s="46">
        <f>VLOOKUP(C27,Active!C$21:E$973,3,FALSE)</f>
        <v>2431.0032928913142</v>
      </c>
      <c r="F27" s="3" t="s">
        <v>61</v>
      </c>
      <c r="G27" s="10" t="str">
        <f t="shared" si="4"/>
        <v>37561.452</v>
      </c>
      <c r="H27" s="14">
        <f t="shared" si="5"/>
        <v>2431</v>
      </c>
      <c r="I27" s="47" t="s">
        <v>102</v>
      </c>
      <c r="J27" s="48" t="s">
        <v>103</v>
      </c>
      <c r="K27" s="47">
        <v>2431</v>
      </c>
      <c r="L27" s="47" t="s">
        <v>104</v>
      </c>
      <c r="M27" s="48" t="s">
        <v>67</v>
      </c>
      <c r="N27" s="48"/>
      <c r="O27" s="49" t="s">
        <v>68</v>
      </c>
      <c r="P27" s="49" t="s">
        <v>69</v>
      </c>
    </row>
    <row r="28" spans="1:16" ht="12.75" customHeight="1" thickBot="1" x14ac:dyDescent="0.25">
      <c r="A28" s="14" t="str">
        <f t="shared" si="0"/>
        <v> MVS 649 </v>
      </c>
      <c r="B28" s="3" t="str">
        <f t="shared" si="1"/>
        <v>I</v>
      </c>
      <c r="C28" s="14">
        <f t="shared" si="2"/>
        <v>37615.339999999997</v>
      </c>
      <c r="D28" s="10" t="str">
        <f t="shared" si="3"/>
        <v>vis</v>
      </c>
      <c r="E28" s="46">
        <f>VLOOKUP(C28,Active!C$21:E$973,3,FALSE)</f>
        <v>2441.9812270155608</v>
      </c>
      <c r="F28" s="3" t="s">
        <v>61</v>
      </c>
      <c r="G28" s="10" t="str">
        <f t="shared" si="4"/>
        <v>37615.340</v>
      </c>
      <c r="H28" s="14">
        <f t="shared" si="5"/>
        <v>2442</v>
      </c>
      <c r="I28" s="47" t="s">
        <v>105</v>
      </c>
      <c r="J28" s="48" t="s">
        <v>106</v>
      </c>
      <c r="K28" s="47">
        <v>2442</v>
      </c>
      <c r="L28" s="47" t="s">
        <v>107</v>
      </c>
      <c r="M28" s="48" t="s">
        <v>67</v>
      </c>
      <c r="N28" s="48"/>
      <c r="O28" s="49" t="s">
        <v>68</v>
      </c>
      <c r="P28" s="49" t="s">
        <v>69</v>
      </c>
    </row>
    <row r="29" spans="1:16" ht="12.75" customHeight="1" thickBot="1" x14ac:dyDescent="0.25">
      <c r="A29" s="14" t="str">
        <f t="shared" si="0"/>
        <v> HABZ 71 </v>
      </c>
      <c r="B29" s="3" t="str">
        <f t="shared" si="1"/>
        <v>I</v>
      </c>
      <c r="C29" s="14">
        <f t="shared" si="2"/>
        <v>39387.561999999998</v>
      </c>
      <c r="D29" s="10" t="str">
        <f t="shared" si="3"/>
        <v>vis</v>
      </c>
      <c r="E29" s="46">
        <f>VLOOKUP(C29,Active!C$21:E$973,3,FALSE)</f>
        <v>2803.0140426617245</v>
      </c>
      <c r="F29" s="3" t="s">
        <v>61</v>
      </c>
      <c r="G29" s="10" t="str">
        <f t="shared" si="4"/>
        <v>39387.562</v>
      </c>
      <c r="H29" s="14">
        <f t="shared" si="5"/>
        <v>2803</v>
      </c>
      <c r="I29" s="47" t="s">
        <v>108</v>
      </c>
      <c r="J29" s="48" t="s">
        <v>109</v>
      </c>
      <c r="K29" s="47">
        <v>2803</v>
      </c>
      <c r="L29" s="47" t="s">
        <v>110</v>
      </c>
      <c r="M29" s="48" t="s">
        <v>67</v>
      </c>
      <c r="N29" s="48"/>
      <c r="O29" s="49" t="s">
        <v>94</v>
      </c>
      <c r="P29" s="49" t="s">
        <v>95</v>
      </c>
    </row>
    <row r="30" spans="1:16" ht="12.75" customHeight="1" thickBot="1" x14ac:dyDescent="0.25">
      <c r="A30" s="14" t="str">
        <f t="shared" si="0"/>
        <v> PZP 2.185 </v>
      </c>
      <c r="B30" s="3" t="str">
        <f t="shared" si="1"/>
        <v>I</v>
      </c>
      <c r="C30" s="14">
        <f t="shared" si="2"/>
        <v>39451.4</v>
      </c>
      <c r="D30" s="10" t="str">
        <f t="shared" si="3"/>
        <v>vis</v>
      </c>
      <c r="E30" s="46">
        <f>VLOOKUP(C30,Active!C$21:E$973,3,FALSE)</f>
        <v>2816.0189669235956</v>
      </c>
      <c r="F30" s="3" t="s">
        <v>61</v>
      </c>
      <c r="G30" s="10" t="str">
        <f t="shared" si="4"/>
        <v>39451.400</v>
      </c>
      <c r="H30" s="14">
        <f t="shared" si="5"/>
        <v>2816</v>
      </c>
      <c r="I30" s="47" t="s">
        <v>111</v>
      </c>
      <c r="J30" s="48" t="s">
        <v>112</v>
      </c>
      <c r="K30" s="47">
        <v>2816</v>
      </c>
      <c r="L30" s="47" t="s">
        <v>113</v>
      </c>
      <c r="M30" s="48" t="s">
        <v>63</v>
      </c>
      <c r="N30" s="48"/>
      <c r="O30" s="49" t="s">
        <v>114</v>
      </c>
      <c r="P30" s="49" t="s">
        <v>115</v>
      </c>
    </row>
    <row r="31" spans="1:16" ht="12.75" customHeight="1" thickBot="1" x14ac:dyDescent="0.25">
      <c r="A31" s="14" t="str">
        <f t="shared" si="0"/>
        <v> PZP 2.185 </v>
      </c>
      <c r="B31" s="3" t="str">
        <f t="shared" si="1"/>
        <v>I</v>
      </c>
      <c r="C31" s="14">
        <f t="shared" si="2"/>
        <v>39466.154000000002</v>
      </c>
      <c r="D31" s="10" t="str">
        <f t="shared" si="3"/>
        <v>vis</v>
      </c>
      <c r="E31" s="46">
        <f>VLOOKUP(C31,Active!C$21:E$973,3,FALSE)</f>
        <v>2819.024616420128</v>
      </c>
      <c r="F31" s="3" t="s">
        <v>61</v>
      </c>
      <c r="G31" s="10" t="str">
        <f t="shared" si="4"/>
        <v>39466.154</v>
      </c>
      <c r="H31" s="14">
        <f t="shared" si="5"/>
        <v>2819</v>
      </c>
      <c r="I31" s="47" t="s">
        <v>116</v>
      </c>
      <c r="J31" s="48" t="s">
        <v>117</v>
      </c>
      <c r="K31" s="47">
        <v>2819</v>
      </c>
      <c r="L31" s="47" t="s">
        <v>118</v>
      </c>
      <c r="M31" s="48" t="s">
        <v>63</v>
      </c>
      <c r="N31" s="48"/>
      <c r="O31" s="49" t="s">
        <v>114</v>
      </c>
      <c r="P31" s="49" t="s">
        <v>115</v>
      </c>
    </row>
    <row r="32" spans="1:16" ht="12.75" customHeight="1" thickBot="1" x14ac:dyDescent="0.25">
      <c r="A32" s="14" t="str">
        <f t="shared" si="0"/>
        <v> HABZ 71 </v>
      </c>
      <c r="B32" s="3" t="str">
        <f t="shared" si="1"/>
        <v>I</v>
      </c>
      <c r="C32" s="14">
        <f t="shared" si="2"/>
        <v>41601.315999999999</v>
      </c>
      <c r="D32" s="10" t="str">
        <f t="shared" si="3"/>
        <v>vis</v>
      </c>
      <c r="E32" s="46">
        <f>VLOOKUP(C32,Active!C$21:E$973,3,FALSE)</f>
        <v>3253.9946984531312</v>
      </c>
      <c r="F32" s="3" t="s">
        <v>61</v>
      </c>
      <c r="G32" s="10" t="str">
        <f t="shared" si="4"/>
        <v>41601.316</v>
      </c>
      <c r="H32" s="14">
        <f t="shared" si="5"/>
        <v>3254</v>
      </c>
      <c r="I32" s="47" t="s">
        <v>119</v>
      </c>
      <c r="J32" s="48" t="s">
        <v>120</v>
      </c>
      <c r="K32" s="47">
        <v>3254</v>
      </c>
      <c r="L32" s="47" t="s">
        <v>121</v>
      </c>
      <c r="M32" s="48" t="s">
        <v>67</v>
      </c>
      <c r="N32" s="48"/>
      <c r="O32" s="49" t="s">
        <v>94</v>
      </c>
      <c r="P32" s="49" t="s">
        <v>95</v>
      </c>
    </row>
    <row r="33" spans="1:16" ht="12.75" customHeight="1" thickBot="1" x14ac:dyDescent="0.25">
      <c r="A33" s="14" t="str">
        <f t="shared" si="0"/>
        <v> VSSC 59.17 </v>
      </c>
      <c r="B33" s="3" t="str">
        <f t="shared" si="1"/>
        <v>I</v>
      </c>
      <c r="C33" s="14">
        <f t="shared" si="2"/>
        <v>44114.508000000002</v>
      </c>
      <c r="D33" s="10" t="str">
        <f t="shared" si="3"/>
        <v>vis</v>
      </c>
      <c r="E33" s="46">
        <f>VLOOKUP(C33,Active!C$21:E$973,3,FALSE)</f>
        <v>3765.976145483703</v>
      </c>
      <c r="F33" s="3" t="s">
        <v>61</v>
      </c>
      <c r="G33" s="10" t="str">
        <f t="shared" si="4"/>
        <v>44114.508</v>
      </c>
      <c r="H33" s="14">
        <f t="shared" si="5"/>
        <v>3766</v>
      </c>
      <c r="I33" s="47" t="s">
        <v>122</v>
      </c>
      <c r="J33" s="48" t="s">
        <v>123</v>
      </c>
      <c r="K33" s="47">
        <v>3766</v>
      </c>
      <c r="L33" s="47" t="s">
        <v>124</v>
      </c>
      <c r="M33" s="48" t="s">
        <v>125</v>
      </c>
      <c r="N33" s="48"/>
      <c r="O33" s="49" t="s">
        <v>126</v>
      </c>
      <c r="P33" s="49" t="s">
        <v>127</v>
      </c>
    </row>
    <row r="34" spans="1:16" ht="12.75" customHeight="1" thickBot="1" x14ac:dyDescent="0.25">
      <c r="A34" s="14" t="str">
        <f t="shared" si="0"/>
        <v> VSSC 72.25 </v>
      </c>
      <c r="B34" s="3" t="str">
        <f t="shared" si="1"/>
        <v>I</v>
      </c>
      <c r="C34" s="14">
        <f t="shared" si="2"/>
        <v>47462.527900000001</v>
      </c>
      <c r="D34" s="10" t="str">
        <f t="shared" si="3"/>
        <v>vis</v>
      </c>
      <c r="E34" s="46">
        <f>VLOOKUP(C34,Active!C$21:E$973,3,FALSE)</f>
        <v>4448.0267301939639</v>
      </c>
      <c r="F34" s="3" t="s">
        <v>61</v>
      </c>
      <c r="G34" s="10" t="str">
        <f t="shared" si="4"/>
        <v>47462.5279</v>
      </c>
      <c r="H34" s="14">
        <f t="shared" si="5"/>
        <v>4448</v>
      </c>
      <c r="I34" s="47" t="s">
        <v>128</v>
      </c>
      <c r="J34" s="48" t="s">
        <v>129</v>
      </c>
      <c r="K34" s="47">
        <v>4448</v>
      </c>
      <c r="L34" s="47" t="s">
        <v>130</v>
      </c>
      <c r="M34" s="48" t="s">
        <v>131</v>
      </c>
      <c r="N34" s="48" t="s">
        <v>132</v>
      </c>
      <c r="O34" s="49" t="s">
        <v>133</v>
      </c>
      <c r="P34" s="49" t="s">
        <v>134</v>
      </c>
    </row>
    <row r="35" spans="1:16" ht="12.75" customHeight="1" thickBot="1" x14ac:dyDescent="0.25">
      <c r="A35" s="14" t="str">
        <f t="shared" si="0"/>
        <v>BAVM 154 </v>
      </c>
      <c r="B35" s="3" t="str">
        <f t="shared" si="1"/>
        <v>I</v>
      </c>
      <c r="C35" s="14">
        <f t="shared" si="2"/>
        <v>52096.389000000003</v>
      </c>
      <c r="D35" s="10" t="str">
        <f t="shared" si="3"/>
        <v>vis</v>
      </c>
      <c r="E35" s="46">
        <f>VLOOKUP(C35,Active!C$21:E$973,3,FALSE)</f>
        <v>5392.0258004268289</v>
      </c>
      <c r="F35" s="3" t="s">
        <v>61</v>
      </c>
      <c r="G35" s="10" t="str">
        <f t="shared" si="4"/>
        <v>52096.389</v>
      </c>
      <c r="H35" s="14">
        <f t="shared" si="5"/>
        <v>5392</v>
      </c>
      <c r="I35" s="47" t="s">
        <v>140</v>
      </c>
      <c r="J35" s="48" t="s">
        <v>141</v>
      </c>
      <c r="K35" s="47">
        <v>5392</v>
      </c>
      <c r="L35" s="47" t="s">
        <v>142</v>
      </c>
      <c r="M35" s="48" t="s">
        <v>125</v>
      </c>
      <c r="N35" s="48"/>
      <c r="O35" s="49" t="s">
        <v>143</v>
      </c>
      <c r="P35" s="50" t="s">
        <v>144</v>
      </c>
    </row>
    <row r="36" spans="1:16" ht="12.75" customHeight="1" thickBot="1" x14ac:dyDescent="0.25">
      <c r="A36" s="14" t="str">
        <f t="shared" si="0"/>
        <v>BAVM 171 </v>
      </c>
      <c r="B36" s="3" t="str">
        <f t="shared" si="1"/>
        <v>I</v>
      </c>
      <c r="C36" s="14">
        <f t="shared" si="2"/>
        <v>52862.15</v>
      </c>
      <c r="D36" s="10" t="str">
        <f t="shared" si="3"/>
        <v>vis</v>
      </c>
      <c r="E36" s="46">
        <f>VLOOKUP(C36,Active!C$21:E$973,3,FALSE)</f>
        <v>5548.0247948767465</v>
      </c>
      <c r="F36" s="3" t="s">
        <v>61</v>
      </c>
      <c r="G36" s="10" t="str">
        <f t="shared" si="4"/>
        <v>52862.15</v>
      </c>
      <c r="H36" s="14">
        <f t="shared" si="5"/>
        <v>5548</v>
      </c>
      <c r="I36" s="47" t="s">
        <v>149</v>
      </c>
      <c r="J36" s="48" t="s">
        <v>150</v>
      </c>
      <c r="K36" s="47">
        <v>5548</v>
      </c>
      <c r="L36" s="47" t="s">
        <v>151</v>
      </c>
      <c r="M36" s="48" t="s">
        <v>125</v>
      </c>
      <c r="N36" s="48"/>
      <c r="O36" s="49" t="s">
        <v>143</v>
      </c>
      <c r="P36" s="50" t="s">
        <v>152</v>
      </c>
    </row>
    <row r="37" spans="1:16" ht="12.75" customHeight="1" thickBot="1" x14ac:dyDescent="0.25">
      <c r="A37" s="14" t="str">
        <f t="shared" si="0"/>
        <v>BAVM 187 </v>
      </c>
      <c r="B37" s="3" t="str">
        <f t="shared" si="1"/>
        <v>I</v>
      </c>
      <c r="C37" s="14">
        <f t="shared" si="2"/>
        <v>53966.65</v>
      </c>
      <c r="D37" s="10" t="str">
        <f t="shared" si="3"/>
        <v>vis</v>
      </c>
      <c r="E37" s="46">
        <f>VLOOKUP(C37,Active!C$21:E$973,3,FALSE)</f>
        <v>5773.0308860330397</v>
      </c>
      <c r="F37" s="3" t="s">
        <v>61</v>
      </c>
      <c r="G37" s="10" t="str">
        <f t="shared" si="4"/>
        <v>53966.65</v>
      </c>
      <c r="H37" s="14">
        <f t="shared" si="5"/>
        <v>5773</v>
      </c>
      <c r="I37" s="47" t="s">
        <v>157</v>
      </c>
      <c r="J37" s="48" t="s">
        <v>158</v>
      </c>
      <c r="K37" s="47">
        <v>5773</v>
      </c>
      <c r="L37" s="47" t="s">
        <v>159</v>
      </c>
      <c r="M37" s="48" t="s">
        <v>125</v>
      </c>
      <c r="N37" s="48"/>
      <c r="O37" s="49" t="s">
        <v>160</v>
      </c>
      <c r="P37" s="50" t="s">
        <v>161</v>
      </c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</sheetData>
  <phoneticPr fontId="8" type="noConversion"/>
  <hyperlinks>
    <hyperlink ref="P35" r:id="rId1" display="http://www.bav-astro.de/sfs/BAVM_link.php?BAVMnr=154" xr:uid="{00000000-0004-0000-0100-000000000000}"/>
    <hyperlink ref="P36" r:id="rId2" display="http://www.bav-astro.de/sfs/BAVM_link.php?BAVMnr=171" xr:uid="{00000000-0004-0000-0100-000001000000}"/>
    <hyperlink ref="P13" r:id="rId3" display="http://var.astro.cz/oejv/issues/oejv0028.pdf" xr:uid="{00000000-0004-0000-0100-000002000000}"/>
    <hyperlink ref="P37" r:id="rId4" display="http://www.bav-astro.de/sfs/BAVM_link.php?BAVMnr=187" xr:uid="{00000000-0004-0000-0100-000003000000}"/>
    <hyperlink ref="P14" r:id="rId5" display="http://www.bav-astro.de/sfs/BAVM_link.php?BAVMnr=220" xr:uid="{00000000-0004-0000-0100-000004000000}"/>
    <hyperlink ref="P15" r:id="rId6" display="http://www.konkoly.hu/cgi-bin/IBVS?6007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2023-01-26T06:48:08Z</dcterms:modified>
</cp:coreProperties>
</file>