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BB9D62B-FA53-4612-95FA-178F9ACDFE5D}" xr6:coauthVersionLast="47" xr6:coauthVersionMax="47" xr10:uidLastSave="{00000000-0000-0000-0000-000000000000}"/>
  <bookViews>
    <workbookView xWindow="14745" yWindow="450" windowWidth="12975" windowHeight="14640"/>
  </bookViews>
  <sheets>
    <sheet name="Active" sheetId="1" r:id="rId1"/>
  </sheets>
  <definedNames>
    <definedName name="solver_adj" localSheetId="0" hidden="1">Active!$U$11:$U$12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Active!$T$18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F38" i="1"/>
  <c r="G38" i="1" s="1"/>
  <c r="Q38" i="1"/>
  <c r="E39" i="1"/>
  <c r="F39" i="1"/>
  <c r="G39" i="1" s="1"/>
  <c r="Q39" i="1"/>
  <c r="E40" i="1"/>
  <c r="F40" i="1"/>
  <c r="G40" i="1" s="1"/>
  <c r="Q40" i="1"/>
  <c r="Q37" i="1"/>
  <c r="Q36" i="1"/>
  <c r="Q35" i="1"/>
  <c r="E34" i="1"/>
  <c r="F34" i="1"/>
  <c r="Q33" i="1"/>
  <c r="Q34" i="1"/>
  <c r="T11" i="1"/>
  <c r="T12" i="1"/>
  <c r="E24" i="1"/>
  <c r="F24" i="1"/>
  <c r="E31" i="1"/>
  <c r="F31" i="1"/>
  <c r="E28" i="1"/>
  <c r="F28" i="1"/>
  <c r="Q32" i="1"/>
  <c r="D9" i="1"/>
  <c r="C9" i="1"/>
  <c r="C7" i="1"/>
  <c r="E37" i="1"/>
  <c r="F37" i="1"/>
  <c r="C8" i="1"/>
  <c r="Q30" i="1"/>
  <c r="Q31" i="1"/>
  <c r="Q29" i="1"/>
  <c r="Q28" i="1"/>
  <c r="Q26" i="1"/>
  <c r="Q25" i="1"/>
  <c r="Q24" i="1"/>
  <c r="Q27" i="1"/>
  <c r="Q22" i="1"/>
  <c r="C21" i="1"/>
  <c r="C17" i="1"/>
  <c r="F16" i="1"/>
  <c r="F17" i="1" s="1"/>
  <c r="Q23" i="1"/>
  <c r="Q21" i="1"/>
  <c r="G28" i="1"/>
  <c r="E21" i="1"/>
  <c r="F21" i="1"/>
  <c r="G21" i="1"/>
  <c r="I21" i="1"/>
  <c r="E25" i="1"/>
  <c r="F25" i="1"/>
  <c r="G25" i="1"/>
  <c r="E32" i="1"/>
  <c r="F32" i="1"/>
  <c r="G32" i="1"/>
  <c r="G34" i="1"/>
  <c r="E36" i="1"/>
  <c r="F36" i="1"/>
  <c r="G36" i="1"/>
  <c r="G24" i="1"/>
  <c r="E30" i="1"/>
  <c r="F30" i="1"/>
  <c r="E27" i="1"/>
  <c r="F27" i="1"/>
  <c r="G27" i="1"/>
  <c r="E22" i="1"/>
  <c r="F22" i="1"/>
  <c r="E35" i="1"/>
  <c r="F35" i="1"/>
  <c r="G35" i="1"/>
  <c r="G37" i="1"/>
  <c r="G31" i="1"/>
  <c r="G23" i="1"/>
  <c r="G30" i="1"/>
  <c r="G22" i="1"/>
  <c r="E29" i="1"/>
  <c r="F29" i="1"/>
  <c r="G29" i="1"/>
  <c r="E23" i="1"/>
  <c r="F23" i="1"/>
  <c r="E26" i="1"/>
  <c r="F26" i="1"/>
  <c r="G26" i="1"/>
  <c r="E33" i="1"/>
  <c r="F33" i="1"/>
  <c r="G33" i="1"/>
  <c r="K33" i="1"/>
  <c r="K32" i="1"/>
  <c r="K25" i="1"/>
  <c r="J30" i="1"/>
  <c r="K23" i="1"/>
  <c r="J31" i="1"/>
  <c r="J28" i="1"/>
  <c r="K37" i="1"/>
  <c r="K36" i="1"/>
  <c r="K35" i="1"/>
  <c r="K24" i="1"/>
  <c r="K22" i="1"/>
  <c r="K26" i="1"/>
  <c r="J29" i="1"/>
  <c r="K34" i="1"/>
  <c r="K27" i="1"/>
  <c r="C12" i="1"/>
  <c r="C11" i="1"/>
  <c r="O38" i="1" l="1"/>
  <c r="R38" i="1" s="1"/>
  <c r="T38" i="1" s="1"/>
  <c r="O39" i="1"/>
  <c r="R39" i="1" s="1"/>
  <c r="T39" i="1" s="1"/>
  <c r="O40" i="1"/>
  <c r="R40" i="1" s="1"/>
  <c r="T40" i="1" s="1"/>
  <c r="K40" i="1"/>
  <c r="K39" i="1"/>
  <c r="K38" i="1"/>
  <c r="C15" i="1"/>
  <c r="O22" i="1"/>
  <c r="R22" i="1" s="1"/>
  <c r="T22" i="1" s="1"/>
  <c r="O36" i="1"/>
  <c r="R36" i="1" s="1"/>
  <c r="T36" i="1" s="1"/>
  <c r="O33" i="1"/>
  <c r="R33" i="1" s="1"/>
  <c r="T33" i="1" s="1"/>
  <c r="O32" i="1"/>
  <c r="R32" i="1" s="1"/>
  <c r="T32" i="1" s="1"/>
  <c r="O23" i="1"/>
  <c r="R23" i="1" s="1"/>
  <c r="T23" i="1" s="1"/>
  <c r="O34" i="1"/>
  <c r="R34" i="1" s="1"/>
  <c r="T34" i="1" s="1"/>
  <c r="O27" i="1"/>
  <c r="R27" i="1" s="1"/>
  <c r="T27" i="1" s="1"/>
  <c r="O37" i="1"/>
  <c r="R37" i="1" s="1"/>
  <c r="T37" i="1" s="1"/>
  <c r="O31" i="1"/>
  <c r="R31" i="1" s="1"/>
  <c r="T31" i="1" s="1"/>
  <c r="O25" i="1"/>
  <c r="R25" i="1" s="1"/>
  <c r="T25" i="1" s="1"/>
  <c r="O28" i="1"/>
  <c r="R28" i="1" s="1"/>
  <c r="T28" i="1" s="1"/>
  <c r="O24" i="1"/>
  <c r="R24" i="1" s="1"/>
  <c r="T24" i="1" s="1"/>
  <c r="O21" i="1"/>
  <c r="O29" i="1"/>
  <c r="R29" i="1" s="1"/>
  <c r="T29" i="1" s="1"/>
  <c r="O30" i="1"/>
  <c r="R30" i="1" s="1"/>
  <c r="T30" i="1" s="1"/>
  <c r="O35" i="1"/>
  <c r="R35" i="1" s="1"/>
  <c r="T35" i="1" s="1"/>
  <c r="O26" i="1"/>
  <c r="R26" i="1" s="1"/>
  <c r="T26" i="1" s="1"/>
  <c r="C16" i="1"/>
  <c r="D18" i="1" s="1"/>
  <c r="T18" i="1" l="1"/>
  <c r="C18" i="1"/>
  <c r="F18" i="1"/>
  <c r="F19" i="1" s="1"/>
</calcChain>
</file>

<file path=xl/sharedStrings.xml><?xml version="1.0" encoding="utf-8"?>
<sst xmlns="http://schemas.openxmlformats.org/spreadsheetml/2006/main" count="91" uniqueCount="66">
  <si>
    <t>IBVS 6244</t>
  </si>
  <si>
    <t>0.0030</t>
  </si>
  <si>
    <t>IBVS 6196</t>
  </si>
  <si>
    <t>0.0050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</si>
  <si>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</si>
  <si>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</si>
  <si>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</si>
  <si>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</si>
  <si>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</si>
  <si>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</si>
  <si>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</si>
  <si>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</si>
  <si>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</si>
  <si>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</si>
  <si>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</si>
  <si>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</si>
  <si>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</si>
  <si>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</si>
  <si>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</si>
  <si>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</si>
  <si>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</si>
  <si>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</si>
  <si>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</si>
  <si>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</si>
  <si>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</si>
  <si>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</si>
  <si>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</si>
  <si>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</si>
  <si>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</si>
  <si>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</si>
  <si>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</si>
  <si>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</si>
  <si>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</si>
  <si>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</si>
  <si>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</si>
  <si>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</si>
  <si>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</si>
  <si>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Cep</t>
  </si>
  <si>
    <t>EW</t>
  </si>
  <si>
    <t>IBVS 5686 Eph.</t>
  </si>
  <si>
    <t>IBVS 5686</t>
  </si>
  <si>
    <t>G3957-0012 _Cep.xls</t>
  </si>
  <si>
    <t>Add cycle</t>
  </si>
  <si>
    <t>Old Cycle</t>
  </si>
  <si>
    <t>OEJV 0137</t>
  </si>
  <si>
    <t>I</t>
  </si>
  <si>
    <t>IBVS 6018</t>
  </si>
  <si>
    <t>OEJV 0160</t>
  </si>
  <si>
    <t>II</t>
  </si>
  <si>
    <t>IBVS 6084</t>
  </si>
  <si>
    <t>IBVS 6092</t>
  </si>
  <si>
    <t>IBVS 6118</t>
  </si>
  <si>
    <t xml:space="preserve">V736 Cep / GSC 3957-0012 </t>
  </si>
  <si>
    <t>CCD</t>
  </si>
  <si>
    <t>PE</t>
  </si>
  <si>
    <t>pg</t>
  </si>
  <si>
    <t>vis</t>
  </si>
  <si>
    <t>IBVS 6195</t>
  </si>
  <si>
    <t>wt</t>
  </si>
  <si>
    <t>diff2</t>
  </si>
  <si>
    <t>wt.diff2</t>
  </si>
  <si>
    <t>Weighted</t>
  </si>
  <si>
    <t>solution</t>
  </si>
  <si>
    <t>OEJV 0211</t>
  </si>
  <si>
    <t>JBAV, 60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</si>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</sst>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/>
    <xf numFmtId="0" fontId="7" fillId="0" borderId="8" xfId="0" applyFont="1" applyFill="1" applyBorder="1" applyAlignment="1">
      <alignment horizontal="center"/>
    </xf>
    <xf numFmtId="11" fontId="0" fillId="0" borderId="0" xfId="0" applyNumberFormat="1" applyAlignment="1"/>
    <xf numFmtId="0" fontId="18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7385257301808"/>
          <c:y val="5.5555714191892223E-2"/>
          <c:w val="0.84005563282336582"/>
          <c:h val="0.725148269452066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18-441B-AF0B-99A2BDB870C0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-1.810000000114087E-2</c:v>
                </c:pt>
                <c:pt idx="8">
                  <c:v>-1.63749999992433E-2</c:v>
                </c:pt>
                <c:pt idx="9">
                  <c:v>-1.6400000000430737E-2</c:v>
                </c:pt>
                <c:pt idx="10">
                  <c:v>-1.7124999998486601E-2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18-441B-AF0B-99A2BDB870C0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-1.0580000001937151E-2</c:v>
                </c:pt>
                <c:pt idx="2">
                  <c:v>-1.4649999997345731E-2</c:v>
                </c:pt>
                <c:pt idx="3">
                  <c:v>-1.555499999813037E-2</c:v>
                </c:pt>
                <c:pt idx="4">
                  <c:v>-1.982500000303844E-2</c:v>
                </c:pt>
                <c:pt idx="5">
                  <c:v>-1.4790000001084991E-2</c:v>
                </c:pt>
                <c:pt idx="6">
                  <c:v>-1.4999999999417923E-2</c:v>
                </c:pt>
                <c:pt idx="11">
                  <c:v>-2.239999999437714E-2</c:v>
                </c:pt>
                <c:pt idx="12">
                  <c:v>-1.8074999992677476E-2</c:v>
                </c:pt>
                <c:pt idx="13">
                  <c:v>-1.8224999999802094E-2</c:v>
                </c:pt>
                <c:pt idx="14">
                  <c:v>-1.9899999992048834E-2</c:v>
                </c:pt>
                <c:pt idx="15">
                  <c:v>-6.9550001862808131E-3</c:v>
                </c:pt>
                <c:pt idx="16">
                  <c:v>-3.4449999999196734E-2</c:v>
                </c:pt>
                <c:pt idx="17">
                  <c:v>-2.7899999993678648E-2</c:v>
                </c:pt>
                <c:pt idx="18">
                  <c:v>-2.4250000074971467E-2</c:v>
                </c:pt>
                <c:pt idx="19">
                  <c:v>-3.4999999996216502E-2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18-441B-AF0B-99A2BDB870C0}"/>
            </c:ext>
          </c:extLst>
        </c:ser>
        <c:ser>
          <c:idx val="7"/>
          <c:order val="3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3.8647245998889648E-3</c:v>
                </c:pt>
                <c:pt idx="1">
                  <c:v>-1.097411175947529E-2</c:v>
                </c:pt>
                <c:pt idx="2">
                  <c:v>-1.3472504448072586E-2</c:v>
                </c:pt>
                <c:pt idx="3">
                  <c:v>-1.4915309390207274E-2</c:v>
                </c:pt>
                <c:pt idx="4">
                  <c:v>-1.5484350312542777E-2</c:v>
                </c:pt>
                <c:pt idx="5">
                  <c:v>-1.5617351001491017E-2</c:v>
                </c:pt>
                <c:pt idx="6">
                  <c:v>-1.6337911696046033E-2</c:v>
                </c:pt>
                <c:pt idx="7">
                  <c:v>-1.6513001210610802E-2</c:v>
                </c:pt>
                <c:pt idx="8">
                  <c:v>-1.652478608178343E-2</c:v>
                </c:pt>
                <c:pt idx="9">
                  <c:v>-1.6728495997767441E-2</c:v>
                </c:pt>
                <c:pt idx="10">
                  <c:v>-1.6858129580666358E-2</c:v>
                </c:pt>
                <c:pt idx="11">
                  <c:v>-2.098451804411108E-2</c:v>
                </c:pt>
                <c:pt idx="12">
                  <c:v>-2.0767339703929782E-2</c:v>
                </c:pt>
                <c:pt idx="13">
                  <c:v>-1.9511409147532487E-2</c:v>
                </c:pt>
                <c:pt idx="14">
                  <c:v>-2.2176473585571246E-2</c:v>
                </c:pt>
                <c:pt idx="15">
                  <c:v>-2.1386887217005119E-2</c:v>
                </c:pt>
                <c:pt idx="16">
                  <c:v>-2.2412171009023821E-2</c:v>
                </c:pt>
                <c:pt idx="17">
                  <c:v>-2.8048706535589683E-2</c:v>
                </c:pt>
                <c:pt idx="18">
                  <c:v>-2.8408986882867193E-2</c:v>
                </c:pt>
                <c:pt idx="19">
                  <c:v>-2.8432556625212449E-2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18-441B-AF0B-99A2BDB8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1624"/>
        <c:axId val="1"/>
      </c:scatterChart>
      <c:valAx>
        <c:axId val="838651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34353268428368"/>
              <c:y val="0.87427146168132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954102920723227E-3"/>
              <c:y val="0.28655062853985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1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68150208623089"/>
          <c:y val="0.90351122776319626"/>
          <c:w val="0.34492350486787204"/>
          <c:h val="6.43277923592884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V0736 Cep - O-C Diagr.</a:t>
            </a:r>
          </a:p>
        </c:rich>
      </c:tx>
      <c:layout>
        <c:manualLayout>
          <c:xMode val="edge"/>
          <c:yMode val="edge"/>
          <c:x val="0.376389472149314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224049511786"/>
          <c:y val="0.13994189017784567"/>
          <c:w val="0.8263900097520748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3-4E93-8892-6CA1658059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3-4E93-8892-6CA1658059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-1.810000000114087E-2</c:v>
                </c:pt>
                <c:pt idx="8">
                  <c:v>-1.63749999992433E-2</c:v>
                </c:pt>
                <c:pt idx="9">
                  <c:v>-1.6400000000430737E-2</c:v>
                </c:pt>
                <c:pt idx="10">
                  <c:v>-1.7124999998486601E-2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D3-4E93-8892-6CA1658059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-1.0580000001937151E-2</c:v>
                </c:pt>
                <c:pt idx="2">
                  <c:v>-1.4649999997345731E-2</c:v>
                </c:pt>
                <c:pt idx="3">
                  <c:v>-1.555499999813037E-2</c:v>
                </c:pt>
                <c:pt idx="4">
                  <c:v>-1.982500000303844E-2</c:v>
                </c:pt>
                <c:pt idx="5">
                  <c:v>-1.4790000001084991E-2</c:v>
                </c:pt>
                <c:pt idx="6">
                  <c:v>-1.4999999999417923E-2</c:v>
                </c:pt>
                <c:pt idx="11">
                  <c:v>-2.239999999437714E-2</c:v>
                </c:pt>
                <c:pt idx="12">
                  <c:v>-1.8074999992677476E-2</c:v>
                </c:pt>
                <c:pt idx="13">
                  <c:v>-1.8224999999802094E-2</c:v>
                </c:pt>
                <c:pt idx="14">
                  <c:v>-1.9899999992048834E-2</c:v>
                </c:pt>
                <c:pt idx="15">
                  <c:v>-6.9550001862808131E-3</c:v>
                </c:pt>
                <c:pt idx="16">
                  <c:v>-3.4449999999196734E-2</c:v>
                </c:pt>
                <c:pt idx="17">
                  <c:v>-2.7899999993678648E-2</c:v>
                </c:pt>
                <c:pt idx="18">
                  <c:v>-2.4250000074971467E-2</c:v>
                </c:pt>
                <c:pt idx="19">
                  <c:v>-3.4999999996216502E-2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D3-4E93-8892-6CA1658059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D3-4E93-8892-6CA1658059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D3-4E93-8892-6CA1658059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D3-4E93-8892-6CA1658059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3.8647245998889648E-3</c:v>
                </c:pt>
                <c:pt idx="1">
                  <c:v>-1.097411175947529E-2</c:v>
                </c:pt>
                <c:pt idx="2">
                  <c:v>-1.3472504448072586E-2</c:v>
                </c:pt>
                <c:pt idx="3">
                  <c:v>-1.4915309390207274E-2</c:v>
                </c:pt>
                <c:pt idx="4">
                  <c:v>-1.5484350312542777E-2</c:v>
                </c:pt>
                <c:pt idx="5">
                  <c:v>-1.5617351001491017E-2</c:v>
                </c:pt>
                <c:pt idx="6">
                  <c:v>-1.6337911696046033E-2</c:v>
                </c:pt>
                <c:pt idx="7">
                  <c:v>-1.6513001210610802E-2</c:v>
                </c:pt>
                <c:pt idx="8">
                  <c:v>-1.652478608178343E-2</c:v>
                </c:pt>
                <c:pt idx="9">
                  <c:v>-1.6728495997767441E-2</c:v>
                </c:pt>
                <c:pt idx="10">
                  <c:v>-1.6858129580666358E-2</c:v>
                </c:pt>
                <c:pt idx="11">
                  <c:v>-2.098451804411108E-2</c:v>
                </c:pt>
                <c:pt idx="12">
                  <c:v>-2.0767339703929782E-2</c:v>
                </c:pt>
                <c:pt idx="13">
                  <c:v>-1.9511409147532487E-2</c:v>
                </c:pt>
                <c:pt idx="14">
                  <c:v>-2.2176473585571246E-2</c:v>
                </c:pt>
                <c:pt idx="15">
                  <c:v>-2.1386887217005119E-2</c:v>
                </c:pt>
                <c:pt idx="16">
                  <c:v>-2.2412171009023821E-2</c:v>
                </c:pt>
                <c:pt idx="17">
                  <c:v>-2.8048706535589683E-2</c:v>
                </c:pt>
                <c:pt idx="18">
                  <c:v>-2.8408986882867193E-2</c:v>
                </c:pt>
                <c:pt idx="19">
                  <c:v>-2.8432556625212449E-2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D3-4E93-8892-6CA165805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1952"/>
        <c:axId val="1"/>
      </c:scatterChart>
      <c:valAx>
        <c:axId val="83865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56284631087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055599300087486"/>
          <c:y val="0.92419947506561673"/>
          <c:w val="0.5805562846310877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4695648-AAB4-3679-C234-4BDB88BF4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28</xdr:col>
      <xdr:colOff>66675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FC7074D-1CB2-44AB-6226-79564AB62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938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3" customWidth="1"/>
  </cols>
  <sheetData>
    <row r="1" spans="1:22" ht="20.25" x14ac:dyDescent="0.3">
      <c r="A1" s="1" t="s">
        <v>52</v>
      </c>
      <c r="E1" s="29"/>
      <c r="F1" s="31" t="s">
        <v>37</v>
      </c>
      <c r="G1" s="29" t="s">
        <v>38</v>
      </c>
      <c r="H1" s="32" t="s">
        <v>39</v>
      </c>
      <c r="I1" s="30">
        <v>51288.826999999997</v>
      </c>
      <c r="J1" s="30">
        <v>0.85785</v>
      </c>
      <c r="K1" s="33" t="s">
        <v>40</v>
      </c>
      <c r="L1" s="34" t="s">
        <v>41</v>
      </c>
    </row>
    <row r="2" spans="1:22" x14ac:dyDescent="0.2">
      <c r="A2" t="s">
        <v>26</v>
      </c>
      <c r="B2" t="s">
        <v>38</v>
      </c>
      <c r="C2" s="9"/>
      <c r="D2" s="9"/>
    </row>
    <row r="3" spans="1:22" ht="13.5" thickBot="1" x14ac:dyDescent="0.25"/>
    <row r="4" spans="1:22" ht="14.25" thickTop="1" thickBot="1" x14ac:dyDescent="0.25">
      <c r="A4" s="28" t="s">
        <v>39</v>
      </c>
      <c r="C4" s="7">
        <v>51288.826999999997</v>
      </c>
      <c r="D4" s="8">
        <v>0.85785</v>
      </c>
    </row>
    <row r="5" spans="1:22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22" x14ac:dyDescent="0.2">
      <c r="A6" s="4" t="s">
        <v>4</v>
      </c>
    </row>
    <row r="7" spans="1:22" x14ac:dyDescent="0.2">
      <c r="A7" t="s">
        <v>5</v>
      </c>
      <c r="C7">
        <f>+C4</f>
        <v>51288.826999999997</v>
      </c>
    </row>
    <row r="8" spans="1:22" x14ac:dyDescent="0.2">
      <c r="A8" t="s">
        <v>6</v>
      </c>
      <c r="C8">
        <f>+D4</f>
        <v>0.85785</v>
      </c>
      <c r="U8" t="s">
        <v>61</v>
      </c>
    </row>
    <row r="9" spans="1:22" x14ac:dyDescent="0.2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  <c r="U9" t="s">
        <v>62</v>
      </c>
    </row>
    <row r="10" spans="1:22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22" x14ac:dyDescent="0.2">
      <c r="A11" s="11" t="s">
        <v>18</v>
      </c>
      <c r="B11" s="11"/>
      <c r="C11" s="23">
        <f ca="1">INTERCEPT(INDIRECT($D$9):G990,INDIRECT($C$9):F990)</f>
        <v>3.8647245998889648E-3</v>
      </c>
      <c r="D11" s="13"/>
      <c r="E11" s="11"/>
      <c r="T11">
        <f>U11*V11</f>
        <v>4.8245833968165799E-3</v>
      </c>
      <c r="U11" s="42">
        <v>4.8245833968165801</v>
      </c>
      <c r="V11">
        <v>1E-3</v>
      </c>
    </row>
    <row r="12" spans="1:22" x14ac:dyDescent="0.2">
      <c r="A12" s="11" t="s">
        <v>19</v>
      </c>
      <c r="B12" s="11"/>
      <c r="C12" s="23">
        <f ca="1">SLOPE(INDIRECT($D$9):G990,INDIRECT($C$9):F990)</f>
        <v>-3.3671060493224995E-6</v>
      </c>
      <c r="D12" s="13"/>
      <c r="E12" s="11"/>
      <c r="T12">
        <f>U12*V12</f>
        <v>-3.5784032125612048E-6</v>
      </c>
      <c r="U12" s="42">
        <v>-3.5784032125612049</v>
      </c>
      <c r="V12" s="41">
        <v>9.9999999999999995E-7</v>
      </c>
    </row>
    <row r="13" spans="1:22" x14ac:dyDescent="0.2">
      <c r="A13" s="11" t="s">
        <v>21</v>
      </c>
      <c r="B13" s="11"/>
      <c r="C13" s="13" t="s">
        <v>16</v>
      </c>
    </row>
    <row r="14" spans="1:22" x14ac:dyDescent="0.2">
      <c r="A14" s="11"/>
      <c r="B14" s="11"/>
      <c r="C14" s="11"/>
    </row>
    <row r="15" spans="1:22" x14ac:dyDescent="0.2">
      <c r="A15" s="14" t="s">
        <v>20</v>
      </c>
      <c r="B15" s="11"/>
      <c r="C15" s="15">
        <f ca="1">(C7+C11)+(C8+C12)*INT(MAX(F21:F3531))</f>
        <v>59517.295767443371</v>
      </c>
      <c r="E15" s="16" t="s">
        <v>42</v>
      </c>
      <c r="F15" s="12">
        <v>1</v>
      </c>
    </row>
    <row r="16" spans="1:22" x14ac:dyDescent="0.2">
      <c r="A16" s="18" t="s">
        <v>7</v>
      </c>
      <c r="B16" s="11"/>
      <c r="C16" s="19">
        <f ca="1">+C8+C12</f>
        <v>0.85784663289395069</v>
      </c>
      <c r="E16" s="16" t="s">
        <v>33</v>
      </c>
      <c r="F16" s="17">
        <f ca="1">NOW()+15018.5+$C$5/24</f>
        <v>59952.719552199072</v>
      </c>
    </row>
    <row r="17" spans="1:20" ht="13.5" thickBot="1" x14ac:dyDescent="0.25">
      <c r="A17" s="16" t="s">
        <v>30</v>
      </c>
      <c r="B17" s="11"/>
      <c r="C17" s="11">
        <f>COUNT(C21:C2189)</f>
        <v>20</v>
      </c>
      <c r="E17" s="16" t="s">
        <v>43</v>
      </c>
      <c r="F17" s="17">
        <f ca="1">ROUND(2*(F16-$C$7)/$C$8,0)/2+F15</f>
        <v>10100.5</v>
      </c>
    </row>
    <row r="18" spans="1:20" ht="14.25" thickTop="1" thickBot="1" x14ac:dyDescent="0.25">
      <c r="A18" s="18" t="s">
        <v>8</v>
      </c>
      <c r="B18" s="11"/>
      <c r="C18" s="21">
        <f ca="1">+C15</f>
        <v>59517.295767443371</v>
      </c>
      <c r="D18" s="22">
        <f ca="1">+C16</f>
        <v>0.85784663289395069</v>
      </c>
      <c r="E18" s="16" t="s">
        <v>34</v>
      </c>
      <c r="F18" s="25">
        <f ca="1">ROUND(2*(F16-$C$15)/$C$16,0)/2+F15</f>
        <v>508.5</v>
      </c>
      <c r="T18">
        <f ca="1">SUM(T22:T32)</f>
        <v>6.7966568245540169E-6</v>
      </c>
    </row>
    <row r="19" spans="1:20" ht="13.5" thickTop="1" x14ac:dyDescent="0.2">
      <c r="E19" s="16" t="s">
        <v>35</v>
      </c>
      <c r="F19" s="20">
        <f ca="1">+$C$15+$C$16*F18-15018.5-$C$5/24</f>
        <v>44935.406613603278</v>
      </c>
    </row>
    <row r="20" spans="1:20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55</v>
      </c>
      <c r="I20" s="6" t="s">
        <v>56</v>
      </c>
      <c r="J20" s="6" t="s">
        <v>54</v>
      </c>
      <c r="K20" s="6" t="s">
        <v>53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R20" s="40" t="s">
        <v>59</v>
      </c>
      <c r="S20" s="40" t="s">
        <v>58</v>
      </c>
      <c r="T20" s="3" t="s">
        <v>60</v>
      </c>
    </row>
    <row r="21" spans="1:20" x14ac:dyDescent="0.2">
      <c r="A21" t="s">
        <v>40</v>
      </c>
      <c r="C21" s="9">
        <f>+$C$4</f>
        <v>51288.826999999997</v>
      </c>
      <c r="D21" s="9" t="s">
        <v>16</v>
      </c>
      <c r="E21">
        <f t="shared" ref="E21:E32" si="0">+(C21-C$7)/C$8</f>
        <v>0</v>
      </c>
      <c r="F21">
        <f t="shared" ref="F21:F37" si="1">ROUND(2*E21,0)/2</f>
        <v>0</v>
      </c>
      <c r="G21">
        <f t="shared" ref="G21:G32" si="2">+C21-(C$7+F21*C$8)</f>
        <v>0</v>
      </c>
      <c r="I21">
        <f>+G21</f>
        <v>0</v>
      </c>
      <c r="O21">
        <f ca="1">+C$11+C$12*$F21</f>
        <v>3.8647245998889648E-3</v>
      </c>
      <c r="Q21" s="2">
        <f t="shared" ref="Q21:Q32" si="3">+C21-15018.5</f>
        <v>36270.326999999997</v>
      </c>
    </row>
    <row r="22" spans="1:20" x14ac:dyDescent="0.2">
      <c r="A22" s="35" t="s">
        <v>44</v>
      </c>
      <c r="B22" s="36" t="s">
        <v>45</v>
      </c>
      <c r="C22" s="37">
        <v>55069.361369999999</v>
      </c>
      <c r="D22" s="37">
        <v>2.9999999999999997E-4</v>
      </c>
      <c r="E22">
        <f t="shared" si="0"/>
        <v>4406.9876668415236</v>
      </c>
      <c r="F22">
        <f t="shared" si="1"/>
        <v>4407</v>
      </c>
      <c r="G22">
        <f t="shared" si="2"/>
        <v>-1.0580000001937151E-2</v>
      </c>
      <c r="K22">
        <f t="shared" ref="K22:K27" si="4">+G22</f>
        <v>-1.0580000001937151E-2</v>
      </c>
      <c r="O22">
        <f t="shared" ref="O22:O32" ca="1" si="5">+C$11+C$12*$F22</f>
        <v>-1.097411175947529E-2</v>
      </c>
      <c r="Q22" s="2">
        <f t="shared" si="3"/>
        <v>40050.861369999999</v>
      </c>
      <c r="R22">
        <f t="shared" ref="R22:R32" ca="1" si="6">(G22-O22)^2</f>
        <v>1.5532407742980081E-7</v>
      </c>
      <c r="S22" s="13">
        <v>1</v>
      </c>
      <c r="T22">
        <f t="shared" ref="T22:T34" ca="1" si="7">R22*S22</f>
        <v>1.5532407742980081E-7</v>
      </c>
    </row>
    <row r="23" spans="1:20" x14ac:dyDescent="0.2">
      <c r="A23" s="38" t="s">
        <v>46</v>
      </c>
      <c r="B23" s="39"/>
      <c r="C23" s="37">
        <v>55705.881999999998</v>
      </c>
      <c r="D23" s="37">
        <v>1E-3</v>
      </c>
      <c r="E23">
        <f t="shared" si="0"/>
        <v>5148.9829224223349</v>
      </c>
      <c r="F23">
        <f t="shared" si="1"/>
        <v>5149</v>
      </c>
      <c r="G23">
        <f t="shared" si="2"/>
        <v>-1.4649999997345731E-2</v>
      </c>
      <c r="K23">
        <f t="shared" si="4"/>
        <v>-1.4649999997345731E-2</v>
      </c>
      <c r="O23">
        <f t="shared" ca="1" si="5"/>
        <v>-1.3472504448072586E-2</v>
      </c>
      <c r="Q23" s="2">
        <f t="shared" si="3"/>
        <v>40687.381999999998</v>
      </c>
      <c r="R23">
        <f t="shared" ca="1" si="6"/>
        <v>1.3864957685580654E-6</v>
      </c>
      <c r="S23" s="13">
        <v>0.5</v>
      </c>
      <c r="T23">
        <f t="shared" ca="1" si="7"/>
        <v>6.9324788427903271E-7</v>
      </c>
    </row>
    <row r="24" spans="1:20" x14ac:dyDescent="0.2">
      <c r="A24" s="35" t="s">
        <v>47</v>
      </c>
      <c r="B24" s="36" t="s">
        <v>48</v>
      </c>
      <c r="C24" s="37">
        <v>56073.469819999998</v>
      </c>
      <c r="D24" s="37">
        <v>4.0000000000000002E-4</v>
      </c>
      <c r="E24">
        <f t="shared" si="0"/>
        <v>5577.4818674593471</v>
      </c>
      <c r="F24">
        <f t="shared" si="1"/>
        <v>5577.5</v>
      </c>
      <c r="G24">
        <f t="shared" si="2"/>
        <v>-1.555499999813037E-2</v>
      </c>
      <c r="K24">
        <f t="shared" si="4"/>
        <v>-1.555499999813037E-2</v>
      </c>
      <c r="O24">
        <f t="shared" ca="1" si="5"/>
        <v>-1.4915309390207274E-2</v>
      </c>
      <c r="Q24" s="2">
        <f t="shared" si="3"/>
        <v>41054.969819999998</v>
      </c>
      <c r="R24">
        <f t="shared" ca="1" si="6"/>
        <v>4.0920407386501963E-7</v>
      </c>
      <c r="S24" s="13">
        <v>1</v>
      </c>
      <c r="T24">
        <f t="shared" ca="1" si="7"/>
        <v>4.0920407386501963E-7</v>
      </c>
    </row>
    <row r="25" spans="1:20" x14ac:dyDescent="0.2">
      <c r="A25" s="35" t="s">
        <v>47</v>
      </c>
      <c r="B25" s="36" t="s">
        <v>48</v>
      </c>
      <c r="C25" s="37">
        <v>56218.442199999998</v>
      </c>
      <c r="D25" s="37">
        <v>5.0000000000000001E-3</v>
      </c>
      <c r="E25">
        <f t="shared" si="0"/>
        <v>5746.476889899167</v>
      </c>
      <c r="F25">
        <f t="shared" si="1"/>
        <v>5746.5</v>
      </c>
      <c r="G25">
        <f t="shared" si="2"/>
        <v>-1.982500000303844E-2</v>
      </c>
      <c r="K25">
        <f t="shared" si="4"/>
        <v>-1.982500000303844E-2</v>
      </c>
      <c r="O25">
        <f t="shared" ca="1" si="5"/>
        <v>-1.5484350312542777E-2</v>
      </c>
      <c r="Q25" s="2">
        <f t="shared" si="3"/>
        <v>41199.942199999998</v>
      </c>
      <c r="R25">
        <f t="shared" ca="1" si="6"/>
        <v>1.8841239735600093E-5</v>
      </c>
      <c r="S25" s="13">
        <v>0.1</v>
      </c>
      <c r="T25">
        <f t="shared" ca="1" si="7"/>
        <v>1.8841239735600094E-6</v>
      </c>
    </row>
    <row r="26" spans="1:20" x14ac:dyDescent="0.2">
      <c r="A26" s="35" t="s">
        <v>47</v>
      </c>
      <c r="B26" s="36" t="s">
        <v>45</v>
      </c>
      <c r="C26" s="37">
        <v>56252.332309999998</v>
      </c>
      <c r="D26" s="37">
        <v>2.0000000000000001E-4</v>
      </c>
      <c r="E26">
        <f t="shared" si="0"/>
        <v>5785.9827592236406</v>
      </c>
      <c r="F26">
        <f t="shared" si="1"/>
        <v>5786</v>
      </c>
      <c r="G26">
        <f t="shared" si="2"/>
        <v>-1.4790000001084991E-2</v>
      </c>
      <c r="K26">
        <f t="shared" si="4"/>
        <v>-1.4790000001084991E-2</v>
      </c>
      <c r="O26">
        <f t="shared" ca="1" si="5"/>
        <v>-1.5617351001491017E-2</v>
      </c>
      <c r="Q26" s="2">
        <f t="shared" si="3"/>
        <v>41233.832309999998</v>
      </c>
      <c r="R26">
        <f t="shared" ca="1" si="6"/>
        <v>6.8450967787285265E-7</v>
      </c>
      <c r="S26" s="13">
        <v>1</v>
      </c>
      <c r="T26">
        <f t="shared" ca="1" si="7"/>
        <v>6.8450967787285265E-7</v>
      </c>
    </row>
    <row r="27" spans="1:20" x14ac:dyDescent="0.2">
      <c r="A27" s="38" t="s">
        <v>50</v>
      </c>
      <c r="B27" s="39"/>
      <c r="C27" s="37">
        <v>56435.911999999997</v>
      </c>
      <c r="D27" s="37">
        <v>1E-3</v>
      </c>
      <c r="E27">
        <f t="shared" si="0"/>
        <v>5999.9825144255974</v>
      </c>
      <c r="F27">
        <f t="shared" si="1"/>
        <v>6000</v>
      </c>
      <c r="G27">
        <f t="shared" si="2"/>
        <v>-1.4999999999417923E-2</v>
      </c>
      <c r="K27">
        <f t="shared" si="4"/>
        <v>-1.4999999999417923E-2</v>
      </c>
      <c r="O27">
        <f t="shared" ca="1" si="5"/>
        <v>-1.6337911696046033E-2</v>
      </c>
      <c r="Q27" s="2">
        <f t="shared" si="3"/>
        <v>41417.411999999997</v>
      </c>
      <c r="R27">
        <f t="shared" ca="1" si="6"/>
        <v>1.7900077079743078E-6</v>
      </c>
      <c r="S27" s="13">
        <v>0.5</v>
      </c>
      <c r="T27">
        <f t="shared" ca="1" si="7"/>
        <v>8.9500385398715391E-7</v>
      </c>
    </row>
    <row r="28" spans="1:20" x14ac:dyDescent="0.2">
      <c r="A28" s="37" t="s">
        <v>49</v>
      </c>
      <c r="B28" s="36" t="s">
        <v>45</v>
      </c>
      <c r="C28" s="37">
        <v>56480.517099999997</v>
      </c>
      <c r="D28" s="37">
        <v>8.2000000000000007E-3</v>
      </c>
      <c r="E28">
        <f t="shared" si="0"/>
        <v>6051.9789007402223</v>
      </c>
      <c r="F28">
        <f t="shared" si="1"/>
        <v>6052</v>
      </c>
      <c r="G28">
        <f t="shared" si="2"/>
        <v>-1.810000000114087E-2</v>
      </c>
      <c r="J28">
        <f>+G28</f>
        <v>-1.810000000114087E-2</v>
      </c>
      <c r="O28">
        <f t="shared" ca="1" si="5"/>
        <v>-1.6513001210610802E-2</v>
      </c>
      <c r="Q28" s="2">
        <f t="shared" si="3"/>
        <v>41462.017099999997</v>
      </c>
      <c r="R28">
        <f t="shared" ca="1" si="6"/>
        <v>2.5185651611438978E-6</v>
      </c>
      <c r="S28" s="13">
        <v>0.1</v>
      </c>
      <c r="T28">
        <f t="shared" ca="1" si="7"/>
        <v>2.5185651611438978E-7</v>
      </c>
    </row>
    <row r="29" spans="1:20" x14ac:dyDescent="0.2">
      <c r="A29" s="37" t="s">
        <v>49</v>
      </c>
      <c r="B29" s="36" t="s">
        <v>45</v>
      </c>
      <c r="C29" s="37">
        <v>56483.5213</v>
      </c>
      <c r="D29" s="37">
        <v>5.7999999999999996E-3</v>
      </c>
      <c r="E29">
        <f t="shared" si="0"/>
        <v>6055.4809115812823</v>
      </c>
      <c r="F29">
        <f t="shared" si="1"/>
        <v>6055.5</v>
      </c>
      <c r="G29">
        <f t="shared" si="2"/>
        <v>-1.63749999992433E-2</v>
      </c>
      <c r="J29">
        <f>+G29</f>
        <v>-1.63749999992433E-2</v>
      </c>
      <c r="O29">
        <f t="shared" ca="1" si="5"/>
        <v>-1.652478608178343E-2</v>
      </c>
      <c r="Q29" s="2">
        <f t="shared" si="3"/>
        <v>41465.0213</v>
      </c>
      <c r="R29">
        <f t="shared" ca="1" si="6"/>
        <v>2.2435870522718625E-8</v>
      </c>
      <c r="S29" s="13">
        <v>0.1</v>
      </c>
      <c r="T29">
        <f t="shared" ca="1" si="7"/>
        <v>2.2435870522718627E-9</v>
      </c>
    </row>
    <row r="30" spans="1:20" x14ac:dyDescent="0.2">
      <c r="A30" s="43" t="s">
        <v>51</v>
      </c>
      <c r="B30" s="44" t="s">
        <v>45</v>
      </c>
      <c r="C30" s="37">
        <v>56535.421199999997</v>
      </c>
      <c r="D30" s="45">
        <v>5.8999999999999999E-3</v>
      </c>
      <c r="E30">
        <f t="shared" si="0"/>
        <v>6115.9808824386546</v>
      </c>
      <c r="F30">
        <f t="shared" si="1"/>
        <v>6116</v>
      </c>
      <c r="G30">
        <f t="shared" si="2"/>
        <v>-1.6400000000430737E-2</v>
      </c>
      <c r="J30">
        <f>+G30</f>
        <v>-1.6400000000430737E-2</v>
      </c>
      <c r="O30">
        <f t="shared" ca="1" si="5"/>
        <v>-1.6728495997767441E-2</v>
      </c>
      <c r="Q30" s="2">
        <f t="shared" si="3"/>
        <v>41516.921199999997</v>
      </c>
      <c r="R30">
        <f t="shared" ca="1" si="6"/>
        <v>1.0790962026623609E-7</v>
      </c>
      <c r="S30" s="13">
        <v>0.1</v>
      </c>
      <c r="T30">
        <f t="shared" ca="1" si="7"/>
        <v>1.079096202662361E-8</v>
      </c>
    </row>
    <row r="31" spans="1:20" x14ac:dyDescent="0.2">
      <c r="A31" s="43" t="s">
        <v>51</v>
      </c>
      <c r="B31" s="44" t="s">
        <v>45</v>
      </c>
      <c r="C31" s="37">
        <v>56568.447699999997</v>
      </c>
      <c r="D31" s="45">
        <v>3.2000000000000002E-3</v>
      </c>
      <c r="E31">
        <f t="shared" si="0"/>
        <v>6154.4800373025582</v>
      </c>
      <c r="F31">
        <f t="shared" si="1"/>
        <v>6154.5</v>
      </c>
      <c r="G31">
        <f t="shared" si="2"/>
        <v>-1.7124999998486601E-2</v>
      </c>
      <c r="J31">
        <f>+G31</f>
        <v>-1.7124999998486601E-2</v>
      </c>
      <c r="O31">
        <f t="shared" ca="1" si="5"/>
        <v>-1.6858129580666358E-2</v>
      </c>
      <c r="Q31" s="2">
        <f t="shared" si="3"/>
        <v>41549.947699999997</v>
      </c>
      <c r="R31">
        <f t="shared" ca="1" si="6"/>
        <v>7.1219819907550861E-8</v>
      </c>
      <c r="S31" s="13">
        <v>0.1</v>
      </c>
      <c r="T31">
        <f t="shared" ca="1" si="7"/>
        <v>7.1219819907550863E-9</v>
      </c>
    </row>
    <row r="32" spans="1:20" x14ac:dyDescent="0.2">
      <c r="A32" s="38" t="s">
        <v>57</v>
      </c>
      <c r="B32" s="39"/>
      <c r="C32" s="37">
        <v>57619.7376</v>
      </c>
      <c r="D32" s="37">
        <v>5.9999999999999995E-4</v>
      </c>
      <c r="E32">
        <f t="shared" si="0"/>
        <v>7379.9738882088977</v>
      </c>
      <c r="F32">
        <f t="shared" si="1"/>
        <v>7380</v>
      </c>
      <c r="G32">
        <f t="shared" si="2"/>
        <v>-2.239999999437714E-2</v>
      </c>
      <c r="K32">
        <f t="shared" ref="K32:K37" si="8">+G32</f>
        <v>-2.239999999437714E-2</v>
      </c>
      <c r="O32">
        <f t="shared" ca="1" si="5"/>
        <v>-2.098451804411108E-2</v>
      </c>
      <c r="Q32" s="2">
        <f t="shared" si="3"/>
        <v>42601.2376</v>
      </c>
      <c r="R32">
        <f t="shared" ca="1" si="6"/>
        <v>2.0035891515290088E-6</v>
      </c>
      <c r="S32" s="13">
        <v>0.9</v>
      </c>
      <c r="T32">
        <f t="shared" ca="1" si="7"/>
        <v>1.803230236376108E-6</v>
      </c>
    </row>
    <row r="33" spans="1:20" x14ac:dyDescent="0.2">
      <c r="A33" s="46" t="s">
        <v>2</v>
      </c>
      <c r="B33" s="47" t="s">
        <v>45</v>
      </c>
      <c r="C33" s="48">
        <v>57564.410600000003</v>
      </c>
      <c r="D33" s="48" t="s">
        <v>1</v>
      </c>
      <c r="E33">
        <f>+(C33-C$7)/C$8</f>
        <v>7315.4789298828528</v>
      </c>
      <c r="F33">
        <f t="shared" si="1"/>
        <v>7315.5</v>
      </c>
      <c r="G33">
        <f>+C33-(C$7+F33*C$8)</f>
        <v>-1.8074999992677476E-2</v>
      </c>
      <c r="K33">
        <f t="shared" si="8"/>
        <v>-1.8074999992677476E-2</v>
      </c>
      <c r="O33">
        <f ca="1">+C$11+C$12*$F33</f>
        <v>-2.0767339703929782E-2</v>
      </c>
      <c r="Q33" s="2">
        <f>+C33-15018.5</f>
        <v>42545.910600000003</v>
      </c>
      <c r="R33">
        <f ca="1">(G33-O33)^2</f>
        <v>7.2486931207861476E-6</v>
      </c>
      <c r="S33" s="13">
        <v>1</v>
      </c>
      <c r="T33">
        <f t="shared" ca="1" si="7"/>
        <v>7.2486931207861476E-6</v>
      </c>
    </row>
    <row r="34" spans="1:20" x14ac:dyDescent="0.2">
      <c r="A34" s="46" t="s">
        <v>2</v>
      </c>
      <c r="B34" s="47" t="s">
        <v>45</v>
      </c>
      <c r="C34" s="48">
        <v>57244.432399999998</v>
      </c>
      <c r="D34" s="48" t="s">
        <v>3</v>
      </c>
      <c r="E34">
        <f>+(C34-C$7)/C$8</f>
        <v>6942.478755027103</v>
      </c>
      <c r="F34">
        <f t="shared" si="1"/>
        <v>6942.5</v>
      </c>
      <c r="G34">
        <f>+C34-(C$7+F34*C$8)</f>
        <v>-1.8224999999802094E-2</v>
      </c>
      <c r="K34">
        <f t="shared" si="8"/>
        <v>-1.8224999999802094E-2</v>
      </c>
      <c r="O34">
        <f ca="1">+C$11+C$12*$F34</f>
        <v>-1.9511409147532487E-2</v>
      </c>
      <c r="Q34" s="2">
        <f>+C34-15018.5</f>
        <v>42225.932399999998</v>
      </c>
      <c r="R34">
        <f ca="1">(G34-O34)^2</f>
        <v>1.6548484953644351E-6</v>
      </c>
      <c r="S34" s="13">
        <v>1</v>
      </c>
      <c r="T34">
        <f t="shared" ca="1" si="7"/>
        <v>1.6548484953644351E-6</v>
      </c>
    </row>
    <row r="35" spans="1:20" x14ac:dyDescent="0.2">
      <c r="A35" s="52" t="s">
        <v>0</v>
      </c>
      <c r="B35" s="53" t="s">
        <v>45</v>
      </c>
      <c r="C35" s="53">
        <v>57923.419000000002</v>
      </c>
      <c r="D35" s="53">
        <v>4.1999999999999997E-3</v>
      </c>
      <c r="E35" s="54">
        <f>+(C35-C$7)/C$8</f>
        <v>7733.9768024712994</v>
      </c>
      <c r="F35" s="54">
        <f t="shared" si="1"/>
        <v>7734</v>
      </c>
      <c r="G35" s="54">
        <f>+C35-(C$7+F35*C$8)</f>
        <v>-1.9899999992048834E-2</v>
      </c>
      <c r="K35">
        <f t="shared" si="8"/>
        <v>-1.9899999992048834E-2</v>
      </c>
      <c r="O35">
        <f ca="1">+C$11+C$12*$F35</f>
        <v>-2.2176473585571246E-2</v>
      </c>
      <c r="Q35" s="2">
        <f>+C35-15018.5</f>
        <v>42904.919000000002</v>
      </c>
      <c r="R35">
        <f ca="1">(G35-O35)^2</f>
        <v>5.1823320220048474E-6</v>
      </c>
      <c r="S35" s="13">
        <v>0.5</v>
      </c>
      <c r="T35">
        <f ca="1">R35*S35</f>
        <v>2.5911660110024237E-6</v>
      </c>
    </row>
    <row r="36" spans="1:20" x14ac:dyDescent="0.2">
      <c r="A36" s="49" t="s">
        <v>63</v>
      </c>
      <c r="B36" s="50" t="s">
        <v>48</v>
      </c>
      <c r="C36" s="51">
        <v>57722.266119999811</v>
      </c>
      <c r="D36" s="51">
        <v>2.9999999999999997E-4</v>
      </c>
      <c r="E36">
        <f>+(C36-C$7)/C$8</f>
        <v>7499.4918925217853</v>
      </c>
      <c r="F36">
        <f t="shared" si="1"/>
        <v>7499.5</v>
      </c>
      <c r="G36">
        <f>+C36-(C$7+F36*C$8)</f>
        <v>-6.9550001862808131E-3</v>
      </c>
      <c r="K36">
        <f t="shared" si="8"/>
        <v>-6.9550001862808131E-3</v>
      </c>
      <c r="O36">
        <f ca="1">+C$11+C$12*$F36</f>
        <v>-2.1386887217005119E-2</v>
      </c>
      <c r="Q36" s="2">
        <f>+C36-15018.5</f>
        <v>42703.766119999811</v>
      </c>
      <c r="R36">
        <f ca="1">(G36-O36)^2</f>
        <v>2.0827936326758842E-4</v>
      </c>
      <c r="S36" s="13">
        <v>1</v>
      </c>
      <c r="T36">
        <f ca="1">R36*S36</f>
        <v>2.0827936326758842E-4</v>
      </c>
    </row>
    <row r="37" spans="1:20" x14ac:dyDescent="0.2">
      <c r="A37" s="49" t="s">
        <v>63</v>
      </c>
      <c r="B37" s="50" t="s">
        <v>45</v>
      </c>
      <c r="C37" s="51">
        <v>57983.453949999996</v>
      </c>
      <c r="D37" s="51">
        <v>3.2000000000000002E-3</v>
      </c>
      <c r="E37">
        <f>+(C37-C$7)/C$8</f>
        <v>7803.9598414641232</v>
      </c>
      <c r="F37">
        <f t="shared" si="1"/>
        <v>7804</v>
      </c>
      <c r="G37">
        <f>+C37-(C$7+F37*C$8)</f>
        <v>-3.4449999999196734E-2</v>
      </c>
      <c r="K37">
        <f t="shared" si="8"/>
        <v>-3.4449999999196734E-2</v>
      </c>
      <c r="O37">
        <f ca="1">+C$11+C$12*$F37</f>
        <v>-2.2412171009023821E-2</v>
      </c>
      <c r="Q37" s="2">
        <f>+C37-15018.5</f>
        <v>42964.953949999996</v>
      </c>
      <c r="R37">
        <f ca="1">(G37-O37)^2</f>
        <v>1.4490932679664742E-4</v>
      </c>
      <c r="S37" s="13">
        <v>1</v>
      </c>
      <c r="T37">
        <f ca="1">R37*S37</f>
        <v>1.4490932679664742E-4</v>
      </c>
    </row>
    <row r="38" spans="1:20" x14ac:dyDescent="0.2">
      <c r="A38" s="55" t="s">
        <v>64</v>
      </c>
      <c r="B38" s="56" t="s">
        <v>45</v>
      </c>
      <c r="C38" s="57">
        <v>59419.501400000001</v>
      </c>
      <c r="D38" s="55">
        <v>2.0999999999999999E-3</v>
      </c>
      <c r="E38">
        <f t="shared" ref="E38:E40" si="9">+(C38-C$7)/C$8</f>
        <v>9477.9674768316181</v>
      </c>
      <c r="F38">
        <f t="shared" ref="F38:F40" si="10">ROUND(2*E38,0)/2</f>
        <v>9478</v>
      </c>
      <c r="G38">
        <f t="shared" ref="G38:G40" si="11">+C38-(C$7+F38*C$8)</f>
        <v>-2.7899999993678648E-2</v>
      </c>
      <c r="K38">
        <f t="shared" ref="K38:K40" si="12">+G38</f>
        <v>-2.7899999993678648E-2</v>
      </c>
      <c r="O38">
        <f t="shared" ref="O38:O40" ca="1" si="13">+C$11+C$12*$F38</f>
        <v>-2.8048706535589683E-2</v>
      </c>
      <c r="Q38" s="2">
        <f t="shared" ref="Q38:Q40" si="14">+C38-15018.5</f>
        <v>44401.001400000001</v>
      </c>
      <c r="R38">
        <f t="shared" ref="R38:R40" ca="1" si="15">(G38-O38)^2</f>
        <v>2.2113635607138507E-8</v>
      </c>
      <c r="S38" s="13">
        <v>1</v>
      </c>
      <c r="T38">
        <f t="shared" ref="T38:T40" ca="1" si="16">R38*S38</f>
        <v>2.2113635607138507E-8</v>
      </c>
    </row>
    <row r="39" spans="1:20" x14ac:dyDescent="0.2">
      <c r="A39" s="55" t="s">
        <v>65</v>
      </c>
      <c r="B39" s="56" t="s">
        <v>45</v>
      </c>
      <c r="C39" s="57">
        <v>59511.294999999925</v>
      </c>
      <c r="D39" s="55"/>
      <c r="E39">
        <f t="shared" si="9"/>
        <v>9584.9717316546339</v>
      </c>
      <c r="F39">
        <f t="shared" si="10"/>
        <v>9585</v>
      </c>
      <c r="G39">
        <f t="shared" si="11"/>
        <v>-2.4250000074971467E-2</v>
      </c>
      <c r="K39">
        <f t="shared" si="12"/>
        <v>-2.4250000074971467E-2</v>
      </c>
      <c r="O39">
        <f t="shared" ca="1" si="13"/>
        <v>-2.8408986882867193E-2</v>
      </c>
      <c r="Q39" s="2">
        <f t="shared" si="14"/>
        <v>44492.794999999925</v>
      </c>
      <c r="R39">
        <f t="shared" ca="1" si="15"/>
        <v>1.7297171268250681E-5</v>
      </c>
      <c r="S39" s="13">
        <v>1</v>
      </c>
      <c r="T39">
        <f t="shared" ca="1" si="16"/>
        <v>1.7297171268250681E-5</v>
      </c>
    </row>
    <row r="40" spans="1:20" x14ac:dyDescent="0.2">
      <c r="A40" s="55" t="s">
        <v>65</v>
      </c>
      <c r="B40" s="56" t="s">
        <v>45</v>
      </c>
      <c r="C40" s="57">
        <v>59517.289199999999</v>
      </c>
      <c r="D40" s="55"/>
      <c r="E40">
        <f t="shared" si="9"/>
        <v>9591.9592003263988</v>
      </c>
      <c r="F40">
        <f t="shared" si="10"/>
        <v>9592</v>
      </c>
      <c r="G40">
        <f t="shared" si="11"/>
        <v>-3.4999999996216502E-2</v>
      </c>
      <c r="K40">
        <f t="shared" si="12"/>
        <v>-3.4999999996216502E-2</v>
      </c>
      <c r="O40">
        <f t="shared" ca="1" si="13"/>
        <v>-2.8432556625212449E-2</v>
      </c>
      <c r="Q40" s="2">
        <f t="shared" si="14"/>
        <v>44498.789199999999</v>
      </c>
      <c r="R40">
        <f t="shared" ca="1" si="15"/>
        <v>4.3131312431345082E-5</v>
      </c>
      <c r="S40" s="13">
        <v>1</v>
      </c>
      <c r="T40">
        <f t="shared" ca="1" si="16"/>
        <v>4.3131312431345082E-5</v>
      </c>
    </row>
    <row r="41" spans="1:20" x14ac:dyDescent="0.2">
      <c r="C41" s="9"/>
      <c r="D41" s="9"/>
    </row>
    <row r="42" spans="1:20" x14ac:dyDescent="0.2">
      <c r="C42" s="9"/>
      <c r="D42" s="9"/>
    </row>
    <row r="43" spans="1:20" x14ac:dyDescent="0.2">
      <c r="C43" s="9"/>
      <c r="D43" s="9"/>
    </row>
    <row r="44" spans="1:20" x14ac:dyDescent="0.2">
      <c r="C44" s="9"/>
      <c r="D44" s="9"/>
    </row>
    <row r="45" spans="1:20" x14ac:dyDescent="0.2">
      <c r="C45" s="9"/>
      <c r="D45" s="9"/>
    </row>
    <row r="46" spans="1:20" x14ac:dyDescent="0.2">
      <c r="C46" s="9"/>
      <c r="D46" s="9"/>
    </row>
    <row r="47" spans="1:20" x14ac:dyDescent="0.2">
      <c r="C47" s="9"/>
      <c r="D47" s="9"/>
    </row>
    <row r="48" spans="1:20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protectedRanges>
    <protectedRange sqref="A36:D37" name="Range1"/>
  </protectedRanges>
  <phoneticPr fontId="8" type="noConversion"/>
  <hyperlinks>
    <hyperlink ref="H1923" r:id="rId1" display="http://vsolj.cetus-net.org/bulletin.html"/>
    <hyperlink ref="H64918" r:id="rId2" display="http://vsolj.cetus-net.org/bulletin.html"/>
    <hyperlink ref="H64911" r:id="rId3" display="https://www.aavso.org/ejaavso"/>
    <hyperlink ref="AP1062" r:id="rId4" display="http://cdsbib.u-strasbg.fr/cgi-bin/cdsbib?1990RMxAA..21..381G"/>
    <hyperlink ref="AP1066" r:id="rId5" display="http://cdsbib.u-strasbg.fr/cgi-bin/cdsbib?1990RMxAA..21..381G"/>
    <hyperlink ref="AP1065" r:id="rId6" display="http://cdsbib.u-strasbg.fr/cgi-bin/cdsbib?1990RMxAA..21..381G"/>
    <hyperlink ref="AP1046" r:id="rId7" display="http://cdsbib.u-strasbg.fr/cgi-bin/cdsbib?1990RMxAA..21..381G"/>
    <hyperlink ref="I64918" r:id="rId8" display="http://vsolj.cetus-net.org/bulletin.html"/>
    <hyperlink ref="AQ1202" r:id="rId9" display="http://cdsbib.u-strasbg.fr/cgi-bin/cdsbib?1990RMxAA..21..381G"/>
    <hyperlink ref="AQ55968" r:id="rId10" display="http://cdsbib.u-strasbg.fr/cgi-bin/cdsbib?1990RMxAA..21..381G"/>
    <hyperlink ref="AQ1203" r:id="rId11" display="http://cdsbib.u-strasbg.fr/cgi-bin/cdsbib?1990RMxAA..21..381G"/>
    <hyperlink ref="H64915" r:id="rId12" display="https://www.aavso.org/ejaavso"/>
    <hyperlink ref="H2088" r:id="rId13" display="http://vsolj.cetus-net.org/bulletin.html"/>
    <hyperlink ref="AP3332" r:id="rId14" display="http://cdsbib.u-strasbg.fr/cgi-bin/cdsbib?1990RMxAA..21..381G"/>
    <hyperlink ref="AP3335" r:id="rId15" display="http://cdsbib.u-strasbg.fr/cgi-bin/cdsbib?1990RMxAA..21..381G"/>
    <hyperlink ref="AP3333" r:id="rId16" display="http://cdsbib.u-strasbg.fr/cgi-bin/cdsbib?1990RMxAA..21..381G"/>
    <hyperlink ref="AP3317" r:id="rId17" display="http://cdsbib.u-strasbg.fr/cgi-bin/cdsbib?1990RMxAA..21..381G"/>
    <hyperlink ref="I2088" r:id="rId18" display="http://vsolj.cetus-net.org/bulletin.html"/>
    <hyperlink ref="AQ3546" r:id="rId19" display="http://cdsbib.u-strasbg.fr/cgi-bin/cdsbib?1990RMxAA..21..381G"/>
    <hyperlink ref="AQ247" r:id="rId20" display="http://cdsbib.u-strasbg.fr/cgi-bin/cdsbib?1990RMxAA..21..381G"/>
    <hyperlink ref="AQ3550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2023-01-08T04:16:09Z</dcterms:modified>
</cp:coreProperties>
</file>