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7B63EBD-E431-4168-A6D2-DF9565725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68" i="1" l="1"/>
  <c r="Q70" i="1"/>
  <c r="Q71" i="1"/>
  <c r="Q72" i="1"/>
  <c r="Q74" i="1"/>
  <c r="Q73" i="1"/>
  <c r="D11" i="1"/>
  <c r="W20" i="1" s="1"/>
  <c r="D12" i="1"/>
  <c r="D13" i="1"/>
  <c r="Q69" i="1"/>
  <c r="D9" i="1"/>
  <c r="C9" i="1"/>
  <c r="Q65" i="1"/>
  <c r="Q66" i="1"/>
  <c r="W23" i="1"/>
  <c r="Q67" i="1"/>
  <c r="Q63" i="1"/>
  <c r="Q62" i="1"/>
  <c r="Q50" i="1"/>
  <c r="Q49" i="1"/>
  <c r="Q47" i="1"/>
  <c r="Q46" i="1"/>
  <c r="Q37" i="1"/>
  <c r="G12" i="3"/>
  <c r="C12" i="3"/>
  <c r="G13" i="3"/>
  <c r="C13" i="3"/>
  <c r="G14" i="3"/>
  <c r="C14" i="3"/>
  <c r="G15" i="3"/>
  <c r="C15" i="3"/>
  <c r="G16" i="3"/>
  <c r="C16" i="3"/>
  <c r="G17" i="3"/>
  <c r="C17" i="3"/>
  <c r="G18" i="3"/>
  <c r="C18" i="3"/>
  <c r="G19" i="3"/>
  <c r="C19" i="3"/>
  <c r="G20" i="3"/>
  <c r="C20" i="3"/>
  <c r="G21" i="3"/>
  <c r="C21" i="3"/>
  <c r="G22" i="3"/>
  <c r="C22" i="3"/>
  <c r="G23" i="3"/>
  <c r="C23" i="3"/>
  <c r="G24" i="3"/>
  <c r="C24" i="3"/>
  <c r="G25" i="3"/>
  <c r="C25" i="3"/>
  <c r="G41" i="3"/>
  <c r="C41" i="3"/>
  <c r="G26" i="3"/>
  <c r="C26" i="3"/>
  <c r="G27" i="3"/>
  <c r="C27" i="3"/>
  <c r="G28" i="3"/>
  <c r="C28" i="3"/>
  <c r="G29" i="3"/>
  <c r="C29" i="3"/>
  <c r="G30" i="3"/>
  <c r="C30" i="3"/>
  <c r="G31" i="3"/>
  <c r="C31" i="3"/>
  <c r="G32" i="3"/>
  <c r="C32" i="3"/>
  <c r="G33" i="3"/>
  <c r="C33" i="3"/>
  <c r="G42" i="3"/>
  <c r="C42" i="3"/>
  <c r="G43" i="3"/>
  <c r="C43" i="3"/>
  <c r="G34" i="3"/>
  <c r="C34" i="3"/>
  <c r="G44" i="3"/>
  <c r="C44" i="3"/>
  <c r="G45" i="3"/>
  <c r="C45" i="3"/>
  <c r="G35" i="3"/>
  <c r="C35" i="3"/>
  <c r="G36" i="3"/>
  <c r="C36" i="3"/>
  <c r="G37" i="3"/>
  <c r="C37" i="3"/>
  <c r="G38" i="3"/>
  <c r="C38" i="3"/>
  <c r="G39" i="3"/>
  <c r="C39" i="3"/>
  <c r="G40" i="3"/>
  <c r="C40" i="3"/>
  <c r="G11" i="3"/>
  <c r="C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45" i="3"/>
  <c r="B45" i="3"/>
  <c r="D45" i="3"/>
  <c r="A45" i="3"/>
  <c r="H44" i="3"/>
  <c r="B44" i="3"/>
  <c r="D44" i="3"/>
  <c r="A44" i="3"/>
  <c r="H34" i="3"/>
  <c r="B34" i="3"/>
  <c r="D34" i="3"/>
  <c r="A34" i="3"/>
  <c r="H43" i="3"/>
  <c r="B43" i="3"/>
  <c r="D43" i="3"/>
  <c r="A43" i="3"/>
  <c r="H42" i="3"/>
  <c r="B42" i="3"/>
  <c r="D42" i="3"/>
  <c r="A42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41" i="3"/>
  <c r="B41" i="3"/>
  <c r="D41" i="3"/>
  <c r="A4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2"/>
  <c r="W2" i="2" s="1"/>
  <c r="D12" i="2"/>
  <c r="C7" i="2"/>
  <c r="C8" i="2"/>
  <c r="D9" i="2"/>
  <c r="E9" i="2"/>
  <c r="D13" i="2"/>
  <c r="F16" i="2"/>
  <c r="F17" i="2" s="1"/>
  <c r="C17" i="2"/>
  <c r="E21" i="2"/>
  <c r="F21" i="2"/>
  <c r="Q21" i="2"/>
  <c r="Q22" i="2"/>
  <c r="E23" i="2"/>
  <c r="F23" i="2"/>
  <c r="G23" i="2"/>
  <c r="I23" i="2"/>
  <c r="Q23" i="2"/>
  <c r="Q24" i="2"/>
  <c r="E25" i="2"/>
  <c r="F25" i="2"/>
  <c r="G25" i="2"/>
  <c r="I25" i="2"/>
  <c r="Q25" i="2"/>
  <c r="Q26" i="2"/>
  <c r="E27" i="2"/>
  <c r="F27" i="2"/>
  <c r="G27" i="2"/>
  <c r="I27" i="2"/>
  <c r="Q27" i="2"/>
  <c r="Q28" i="2"/>
  <c r="E29" i="2"/>
  <c r="F29" i="2"/>
  <c r="G29" i="2"/>
  <c r="I29" i="2"/>
  <c r="Q29" i="2"/>
  <c r="Q30" i="2"/>
  <c r="E31" i="2"/>
  <c r="F31" i="2"/>
  <c r="G31" i="2"/>
  <c r="H31" i="2"/>
  <c r="Q31" i="2"/>
  <c r="Q32" i="2"/>
  <c r="E33" i="2"/>
  <c r="F33" i="2"/>
  <c r="G33" i="2"/>
  <c r="I33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W5" i="1"/>
  <c r="Q21" i="1"/>
  <c r="Q64" i="1"/>
  <c r="Q61" i="1"/>
  <c r="Q58" i="1"/>
  <c r="Q59" i="1"/>
  <c r="Q57" i="1"/>
  <c r="Q53" i="1"/>
  <c r="Q60" i="1"/>
  <c r="Q54" i="1"/>
  <c r="Q55" i="1"/>
  <c r="Q56" i="1"/>
  <c r="Q52" i="1"/>
  <c r="Q51" i="1"/>
  <c r="F16" i="1"/>
  <c r="F17" i="1" s="1"/>
  <c r="Q22" i="1"/>
  <c r="Q23" i="1"/>
  <c r="Q24" i="1"/>
  <c r="Q25" i="1"/>
  <c r="Q26" i="1"/>
  <c r="Q27" i="1"/>
  <c r="Q28" i="1"/>
  <c r="Q29" i="1"/>
  <c r="Q30" i="1"/>
  <c r="Q34" i="1"/>
  <c r="Q39" i="1"/>
  <c r="Q40" i="1"/>
  <c r="Q42" i="1"/>
  <c r="Q44" i="1"/>
  <c r="Q48" i="1"/>
  <c r="Q32" i="1"/>
  <c r="Q33" i="1"/>
  <c r="Q35" i="1"/>
  <c r="Q43" i="1"/>
  <c r="Q45" i="1"/>
  <c r="Q41" i="1"/>
  <c r="Q36" i="1"/>
  <c r="Q38" i="1"/>
  <c r="C7" i="1"/>
  <c r="E68" i="1" s="1"/>
  <c r="F68" i="1" s="1"/>
  <c r="C8" i="1"/>
  <c r="Q31" i="1"/>
  <c r="C17" i="1"/>
  <c r="E57" i="2"/>
  <c r="F57" i="2"/>
  <c r="G57" i="2"/>
  <c r="J57" i="2"/>
  <c r="E55" i="2"/>
  <c r="F55" i="2"/>
  <c r="G55" i="2"/>
  <c r="I55" i="2"/>
  <c r="E53" i="2"/>
  <c r="F53" i="2"/>
  <c r="G53" i="2"/>
  <c r="K53" i="2"/>
  <c r="E51" i="2"/>
  <c r="F51" i="2"/>
  <c r="G51" i="2"/>
  <c r="K51" i="2"/>
  <c r="E49" i="2"/>
  <c r="F49" i="2"/>
  <c r="G49" i="2"/>
  <c r="K49" i="2"/>
  <c r="E47" i="2"/>
  <c r="F47" i="2"/>
  <c r="G47" i="2"/>
  <c r="J47" i="2"/>
  <c r="E45" i="2"/>
  <c r="F45" i="2"/>
  <c r="G45" i="2"/>
  <c r="I45" i="2"/>
  <c r="E43" i="2"/>
  <c r="F43" i="2"/>
  <c r="G43" i="2"/>
  <c r="I43" i="2"/>
  <c r="E41" i="2"/>
  <c r="F41" i="2"/>
  <c r="E39" i="2"/>
  <c r="F39" i="2"/>
  <c r="G39" i="2"/>
  <c r="I39" i="2"/>
  <c r="E37" i="2"/>
  <c r="F37" i="2"/>
  <c r="E35" i="2"/>
  <c r="F35" i="2"/>
  <c r="G35" i="2"/>
  <c r="I35" i="2"/>
  <c r="E32" i="2"/>
  <c r="F32" i="2"/>
  <c r="G32" i="2"/>
  <c r="I32" i="2"/>
  <c r="E28" i="2"/>
  <c r="F28" i="2"/>
  <c r="G28" i="2"/>
  <c r="I28" i="2"/>
  <c r="E24" i="2"/>
  <c r="F24" i="2"/>
  <c r="E56" i="2"/>
  <c r="F56" i="2"/>
  <c r="G56" i="2"/>
  <c r="I56" i="2"/>
  <c r="E54" i="2"/>
  <c r="F54" i="2"/>
  <c r="G54" i="2"/>
  <c r="K54" i="2"/>
  <c r="E52" i="2"/>
  <c r="F52" i="2"/>
  <c r="G52" i="2"/>
  <c r="K52" i="2"/>
  <c r="E50" i="2"/>
  <c r="F50" i="2"/>
  <c r="G50" i="2"/>
  <c r="K50" i="2"/>
  <c r="E48" i="2"/>
  <c r="F48" i="2"/>
  <c r="G48" i="2"/>
  <c r="I48" i="2"/>
  <c r="E46" i="2"/>
  <c r="F46" i="2"/>
  <c r="G46" i="2"/>
  <c r="I46" i="2"/>
  <c r="E44" i="2"/>
  <c r="F44" i="2"/>
  <c r="G44" i="2"/>
  <c r="I44" i="2"/>
  <c r="E42" i="2"/>
  <c r="F42" i="2"/>
  <c r="G42" i="2"/>
  <c r="I42" i="2"/>
  <c r="G41" i="2"/>
  <c r="I41" i="2"/>
  <c r="E40" i="2"/>
  <c r="F40" i="2"/>
  <c r="G40" i="2"/>
  <c r="I40" i="2"/>
  <c r="E38" i="2"/>
  <c r="F38" i="2"/>
  <c r="G38" i="2"/>
  <c r="I38" i="2"/>
  <c r="G37" i="2"/>
  <c r="I37" i="2"/>
  <c r="E36" i="2"/>
  <c r="F36" i="2"/>
  <c r="E26" i="2"/>
  <c r="F26" i="2"/>
  <c r="G26" i="2"/>
  <c r="I26" i="2"/>
  <c r="E54" i="1"/>
  <c r="E37" i="3" s="1"/>
  <c r="E55" i="1"/>
  <c r="F55" i="1" s="1"/>
  <c r="E42" i="1"/>
  <c r="F42" i="1" s="1"/>
  <c r="G42" i="1" s="1"/>
  <c r="J42" i="1" s="1"/>
  <c r="E24" i="1"/>
  <c r="E14" i="3" s="1"/>
  <c r="G21" i="2"/>
  <c r="I21" i="2"/>
  <c r="G36" i="2"/>
  <c r="I36" i="2"/>
  <c r="E30" i="2"/>
  <c r="F30" i="2"/>
  <c r="G30" i="2"/>
  <c r="I30" i="2"/>
  <c r="G24" i="2"/>
  <c r="I24" i="2"/>
  <c r="E34" i="2"/>
  <c r="F34" i="2"/>
  <c r="G34" i="2"/>
  <c r="I34" i="2"/>
  <c r="E22" i="2"/>
  <c r="F22" i="2"/>
  <c r="G22" i="2"/>
  <c r="I22" i="2"/>
  <c r="E38" i="3"/>
  <c r="W12" i="1"/>
  <c r="C11" i="2"/>
  <c r="C12" i="2"/>
  <c r="P42" i="1" l="1"/>
  <c r="R42" i="1" s="1"/>
  <c r="T42" i="1" s="1"/>
  <c r="F24" i="1"/>
  <c r="P24" i="1" s="1"/>
  <c r="E58" i="1"/>
  <c r="F58" i="1" s="1"/>
  <c r="E31" i="1"/>
  <c r="F31" i="1" s="1"/>
  <c r="P31" i="1" s="1"/>
  <c r="E37" i="1"/>
  <c r="E62" i="1"/>
  <c r="F62" i="1" s="1"/>
  <c r="W21" i="1"/>
  <c r="E48" i="1"/>
  <c r="E21" i="1"/>
  <c r="F21" i="1" s="1"/>
  <c r="W2" i="1"/>
  <c r="E46" i="1"/>
  <c r="E40" i="1"/>
  <c r="F40" i="1" s="1"/>
  <c r="G40" i="1" s="1"/>
  <c r="K40" i="1" s="1"/>
  <c r="E66" i="1"/>
  <c r="F66" i="1" s="1"/>
  <c r="E49" i="1"/>
  <c r="E65" i="1"/>
  <c r="F65" i="1" s="1"/>
  <c r="P65" i="1" s="1"/>
  <c r="E64" i="1"/>
  <c r="F64" i="1" s="1"/>
  <c r="G64" i="1" s="1"/>
  <c r="K64" i="1" s="1"/>
  <c r="E50" i="1"/>
  <c r="F54" i="1"/>
  <c r="P54" i="1" s="1"/>
  <c r="R54" i="1" s="1"/>
  <c r="T54" i="1" s="1"/>
  <c r="E45" i="1"/>
  <c r="W4" i="1"/>
  <c r="E72" i="1"/>
  <c r="F72" i="1" s="1"/>
  <c r="W19" i="1"/>
  <c r="E43" i="1"/>
  <c r="E38" i="1"/>
  <c r="E69" i="1"/>
  <c r="F69" i="1" s="1"/>
  <c r="P69" i="1" s="1"/>
  <c r="E29" i="1"/>
  <c r="E63" i="1"/>
  <c r="F63" i="1" s="1"/>
  <c r="P63" i="1" s="1"/>
  <c r="E39" i="1"/>
  <c r="E61" i="1"/>
  <c r="F61" i="1" s="1"/>
  <c r="P61" i="1" s="1"/>
  <c r="W15" i="1"/>
  <c r="E71" i="1"/>
  <c r="F71" i="1" s="1"/>
  <c r="P71" i="1" s="1"/>
  <c r="W11" i="1"/>
  <c r="E53" i="1"/>
  <c r="F53" i="1" s="1"/>
  <c r="P53" i="1" s="1"/>
  <c r="E51" i="1"/>
  <c r="P59" i="1"/>
  <c r="R59" i="1" s="1"/>
  <c r="T59" i="1" s="1"/>
  <c r="E33" i="1"/>
  <c r="E35" i="1"/>
  <c r="E25" i="1"/>
  <c r="W24" i="1"/>
  <c r="W17" i="1"/>
  <c r="W3" i="1"/>
  <c r="U55" i="1"/>
  <c r="E47" i="1"/>
  <c r="E60" i="1"/>
  <c r="E36" i="1"/>
  <c r="E30" i="1"/>
  <c r="E22" i="1"/>
  <c r="E26" i="1"/>
  <c r="E73" i="1"/>
  <c r="F73" i="1" s="1"/>
  <c r="P73" i="1" s="1"/>
  <c r="R73" i="1" s="1"/>
  <c r="T73" i="1" s="1"/>
  <c r="E70" i="1"/>
  <c r="F70" i="1" s="1"/>
  <c r="P55" i="1"/>
  <c r="G69" i="1"/>
  <c r="K69" i="1" s="1"/>
  <c r="E30" i="3"/>
  <c r="E41" i="1"/>
  <c r="F41" i="1" s="1"/>
  <c r="E23" i="1"/>
  <c r="E13" i="3" s="1"/>
  <c r="E59" i="1"/>
  <c r="F59" i="1" s="1"/>
  <c r="G59" i="1" s="1"/>
  <c r="E56" i="1"/>
  <c r="E34" i="1"/>
  <c r="E57" i="1"/>
  <c r="F57" i="1" s="1"/>
  <c r="G57" i="1" s="1"/>
  <c r="K57" i="1" s="1"/>
  <c r="E27" i="1"/>
  <c r="E32" i="1"/>
  <c r="E44" i="1"/>
  <c r="E67" i="1"/>
  <c r="F67" i="1" s="1"/>
  <c r="G67" i="1" s="1"/>
  <c r="K67" i="1" s="1"/>
  <c r="P64" i="1"/>
  <c r="R64" i="1" s="1"/>
  <c r="T64" i="1" s="1"/>
  <c r="E52" i="1"/>
  <c r="E36" i="3" s="1"/>
  <c r="G73" i="1"/>
  <c r="K73" i="1" s="1"/>
  <c r="E28" i="1"/>
  <c r="E74" i="1"/>
  <c r="F74" i="1" s="1"/>
  <c r="W6" i="1"/>
  <c r="W7" i="1"/>
  <c r="W10" i="1"/>
  <c r="W13" i="1"/>
  <c r="W22" i="1"/>
  <c r="P74" i="1"/>
  <c r="W14" i="1"/>
  <c r="W20" i="2"/>
  <c r="W9" i="2"/>
  <c r="W9" i="1"/>
  <c r="W13" i="2"/>
  <c r="W25" i="1"/>
  <c r="K59" i="1"/>
  <c r="G41" i="1"/>
  <c r="K41" i="1" s="1"/>
  <c r="P41" i="1"/>
  <c r="G70" i="1"/>
  <c r="K70" i="1" s="1"/>
  <c r="P70" i="1"/>
  <c r="R70" i="1" s="1"/>
  <c r="T70" i="1" s="1"/>
  <c r="P58" i="1"/>
  <c r="G58" i="1"/>
  <c r="K58" i="1" s="1"/>
  <c r="P62" i="1"/>
  <c r="G62" i="1"/>
  <c r="K62" i="1" s="1"/>
  <c r="P21" i="1"/>
  <c r="G21" i="1"/>
  <c r="K21" i="1" s="1"/>
  <c r="G66" i="1"/>
  <c r="K66" i="1" s="1"/>
  <c r="P66" i="1"/>
  <c r="P57" i="1"/>
  <c r="R57" i="1" s="1"/>
  <c r="T57" i="1" s="1"/>
  <c r="E28" i="3"/>
  <c r="E11" i="3"/>
  <c r="U54" i="1"/>
  <c r="E29" i="3"/>
  <c r="G65" i="1"/>
  <c r="K65" i="1" s="1"/>
  <c r="P72" i="1"/>
  <c r="G72" i="1"/>
  <c r="K72" i="1" s="1"/>
  <c r="G68" i="1"/>
  <c r="P68" i="1"/>
  <c r="G74" i="1"/>
  <c r="K74" i="1" s="1"/>
  <c r="C16" i="2"/>
  <c r="D18" i="2" s="1"/>
  <c r="O50" i="2"/>
  <c r="O56" i="2"/>
  <c r="O43" i="2"/>
  <c r="O41" i="2"/>
  <c r="O55" i="2"/>
  <c r="O35" i="2"/>
  <c r="O53" i="2"/>
  <c r="O48" i="2"/>
  <c r="O49" i="2"/>
  <c r="O38" i="2"/>
  <c r="O44" i="2"/>
  <c r="O34" i="2"/>
  <c r="O51" i="2"/>
  <c r="O37" i="2"/>
  <c r="O42" i="2"/>
  <c r="O57" i="2"/>
  <c r="O47" i="2"/>
  <c r="O52" i="2"/>
  <c r="O40" i="2"/>
  <c r="O54" i="2"/>
  <c r="O36" i="2"/>
  <c r="O45" i="2"/>
  <c r="O39" i="2"/>
  <c r="C15" i="2"/>
  <c r="O46" i="2"/>
  <c r="W3" i="2"/>
  <c r="P21" i="2"/>
  <c r="R21" i="2" s="1"/>
  <c r="T21" i="2" s="1"/>
  <c r="E14" i="2" s="1"/>
  <c r="W8" i="2"/>
  <c r="W5" i="2"/>
  <c r="W19" i="2"/>
  <c r="W6" i="2"/>
  <c r="W12" i="2"/>
  <c r="W14" i="2"/>
  <c r="W18" i="1"/>
  <c r="W16" i="2"/>
  <c r="W17" i="2"/>
  <c r="W4" i="2"/>
  <c r="W16" i="1"/>
  <c r="W7" i="2"/>
  <c r="W15" i="2"/>
  <c r="W11" i="2"/>
  <c r="W8" i="1"/>
  <c r="W10" i="2"/>
  <c r="W18" i="2"/>
  <c r="R31" i="1" l="1"/>
  <c r="T31" i="1" s="1"/>
  <c r="R62" i="1"/>
  <c r="T62" i="1" s="1"/>
  <c r="F35" i="1"/>
  <c r="E24" i="3"/>
  <c r="G71" i="1"/>
  <c r="G61" i="1"/>
  <c r="J61" i="1" s="1"/>
  <c r="P40" i="1"/>
  <c r="R40" i="1" s="1"/>
  <c r="T40" i="1" s="1"/>
  <c r="G31" i="1"/>
  <c r="K31" i="1" s="1"/>
  <c r="F44" i="1"/>
  <c r="E32" i="3"/>
  <c r="E20" i="3"/>
  <c r="F30" i="1"/>
  <c r="E35" i="3"/>
  <c r="F51" i="1"/>
  <c r="F39" i="1"/>
  <c r="E27" i="3"/>
  <c r="F45" i="1"/>
  <c r="E33" i="3"/>
  <c r="E42" i="3"/>
  <c r="F46" i="1"/>
  <c r="F56" i="1"/>
  <c r="E39" i="3"/>
  <c r="F22" i="1"/>
  <c r="E12" i="3"/>
  <c r="F36" i="1"/>
  <c r="E25" i="3"/>
  <c r="G63" i="1"/>
  <c r="K63" i="1" s="1"/>
  <c r="F52" i="1"/>
  <c r="E17" i="3"/>
  <c r="F27" i="1"/>
  <c r="E40" i="3"/>
  <c r="F60" i="1"/>
  <c r="F29" i="1"/>
  <c r="E19" i="3"/>
  <c r="F50" i="1"/>
  <c r="E45" i="3"/>
  <c r="R55" i="1"/>
  <c r="T55" i="1" s="1"/>
  <c r="E21" i="3"/>
  <c r="F32" i="1"/>
  <c r="G53" i="1"/>
  <c r="F23" i="1"/>
  <c r="P23" i="1" s="1"/>
  <c r="F28" i="1"/>
  <c r="E18" i="3"/>
  <c r="E43" i="3"/>
  <c r="F47" i="1"/>
  <c r="R69" i="1"/>
  <c r="T69" i="1" s="1"/>
  <c r="F48" i="1"/>
  <c r="E34" i="3"/>
  <c r="F25" i="1"/>
  <c r="E15" i="3"/>
  <c r="E26" i="3"/>
  <c r="F38" i="1"/>
  <c r="E16" i="3"/>
  <c r="F26" i="1"/>
  <c r="F43" i="1"/>
  <c r="E31" i="3"/>
  <c r="F49" i="1"/>
  <c r="E44" i="3"/>
  <c r="P67" i="1"/>
  <c r="R67" i="1" s="1"/>
  <c r="T67" i="1" s="1"/>
  <c r="R66" i="1"/>
  <c r="T66" i="1" s="1"/>
  <c r="E23" i="3"/>
  <c r="F34" i="1"/>
  <c r="E22" i="3"/>
  <c r="F33" i="1"/>
  <c r="F37" i="1"/>
  <c r="E41" i="3"/>
  <c r="G24" i="1"/>
  <c r="K24" i="1" s="1"/>
  <c r="R41" i="1"/>
  <c r="T41" i="1" s="1"/>
  <c r="R21" i="1"/>
  <c r="T21" i="1" s="1"/>
  <c r="R71" i="1"/>
  <c r="T71" i="1" s="1"/>
  <c r="R58" i="1"/>
  <c r="T58" i="1" s="1"/>
  <c r="R65" i="1"/>
  <c r="T65" i="1" s="1"/>
  <c r="R68" i="1"/>
  <c r="T68" i="1" s="1"/>
  <c r="P52" i="1"/>
  <c r="G52" i="1"/>
  <c r="K52" i="1" s="1"/>
  <c r="R61" i="1"/>
  <c r="T61" i="1" s="1"/>
  <c r="K68" i="1"/>
  <c r="R72" i="1"/>
  <c r="T72" i="1" s="1"/>
  <c r="R74" i="1"/>
  <c r="T74" i="1" s="1"/>
  <c r="C18" i="2"/>
  <c r="F18" i="2"/>
  <c r="F19" i="2" s="1"/>
  <c r="C12" i="1"/>
  <c r="C11" i="1"/>
  <c r="O57" i="1" l="1"/>
  <c r="O56" i="1"/>
  <c r="O47" i="1"/>
  <c r="O64" i="1"/>
  <c r="O41" i="1"/>
  <c r="O35" i="1"/>
  <c r="O54" i="1"/>
  <c r="O50" i="1"/>
  <c r="O58" i="1"/>
  <c r="O36" i="1"/>
  <c r="O74" i="1"/>
  <c r="O34" i="1"/>
  <c r="O66" i="1"/>
  <c r="O46" i="1"/>
  <c r="O67" i="1"/>
  <c r="O48" i="1"/>
  <c r="O62" i="1"/>
  <c r="O45" i="1"/>
  <c r="O44" i="1"/>
  <c r="O70" i="1"/>
  <c r="O59" i="1"/>
  <c r="O42" i="1"/>
  <c r="O69" i="1"/>
  <c r="O38" i="1"/>
  <c r="O73" i="1"/>
  <c r="O53" i="1"/>
  <c r="O51" i="1"/>
  <c r="O65" i="1"/>
  <c r="C15" i="1"/>
  <c r="F18" i="1" s="1"/>
  <c r="F19" i="1" s="1"/>
  <c r="O63" i="1"/>
  <c r="O68" i="1"/>
  <c r="O61" i="1"/>
  <c r="O60" i="1"/>
  <c r="O52" i="1"/>
  <c r="O49" i="1"/>
  <c r="O71" i="1"/>
  <c r="O55" i="1"/>
  <c r="O37" i="1"/>
  <c r="O72" i="1"/>
  <c r="O39" i="1"/>
  <c r="O43" i="1"/>
  <c r="O40" i="1"/>
  <c r="C16" i="1"/>
  <c r="D18" i="1" s="1"/>
  <c r="G48" i="1"/>
  <c r="K48" i="1" s="1"/>
  <c r="P48" i="1"/>
  <c r="R48" i="1" s="1"/>
  <c r="T48" i="1" s="1"/>
  <c r="P32" i="1"/>
  <c r="R32" i="1" s="1"/>
  <c r="T32" i="1" s="1"/>
  <c r="G32" i="1"/>
  <c r="K32" i="1" s="1"/>
  <c r="G22" i="1"/>
  <c r="K22" i="1" s="1"/>
  <c r="P22" i="1"/>
  <c r="D16" i="1"/>
  <c r="D19" i="1" s="1"/>
  <c r="G26" i="1"/>
  <c r="K26" i="1" s="1"/>
  <c r="P26" i="1"/>
  <c r="R26" i="1" s="1"/>
  <c r="T26" i="1" s="1"/>
  <c r="G27" i="1"/>
  <c r="K27" i="1" s="1"/>
  <c r="P27" i="1"/>
  <c r="R27" i="1" s="1"/>
  <c r="T27" i="1" s="1"/>
  <c r="R24" i="1"/>
  <c r="T24" i="1" s="1"/>
  <c r="G23" i="1"/>
  <c r="K23" i="1" s="1"/>
  <c r="G47" i="1"/>
  <c r="K47" i="1" s="1"/>
  <c r="P47" i="1"/>
  <c r="R47" i="1" s="1"/>
  <c r="T47" i="1" s="1"/>
  <c r="G51" i="1"/>
  <c r="K51" i="1" s="1"/>
  <c r="P51" i="1"/>
  <c r="R51" i="1" s="1"/>
  <c r="T51" i="1" s="1"/>
  <c r="G37" i="1"/>
  <c r="K37" i="1" s="1"/>
  <c r="P37" i="1"/>
  <c r="R37" i="1" s="1"/>
  <c r="T37" i="1" s="1"/>
  <c r="G44" i="1"/>
  <c r="J44" i="1" s="1"/>
  <c r="P44" i="1"/>
  <c r="R44" i="1" s="1"/>
  <c r="T44" i="1" s="1"/>
  <c r="G34" i="1"/>
  <c r="K34" i="1" s="1"/>
  <c r="P34" i="1"/>
  <c r="R34" i="1" s="1"/>
  <c r="T34" i="1" s="1"/>
  <c r="P39" i="1"/>
  <c r="G39" i="1"/>
  <c r="J39" i="1" s="1"/>
  <c r="P38" i="1"/>
  <c r="G38" i="1"/>
  <c r="K38" i="1" s="1"/>
  <c r="D15" i="1"/>
  <c r="C19" i="1" s="1"/>
  <c r="P56" i="1"/>
  <c r="U56" i="1"/>
  <c r="K71" i="1"/>
  <c r="P36" i="1"/>
  <c r="G36" i="1"/>
  <c r="K36" i="1" s="1"/>
  <c r="K53" i="1"/>
  <c r="R53" i="1"/>
  <c r="T53" i="1" s="1"/>
  <c r="P25" i="1"/>
  <c r="G25" i="1"/>
  <c r="K25" i="1" s="1"/>
  <c r="P50" i="1"/>
  <c r="G50" i="1"/>
  <c r="K50" i="1" s="1"/>
  <c r="P46" i="1"/>
  <c r="G46" i="1"/>
  <c r="K46" i="1" s="1"/>
  <c r="G30" i="1"/>
  <c r="K30" i="1" s="1"/>
  <c r="P30" i="1"/>
  <c r="R30" i="1" s="1"/>
  <c r="T30" i="1" s="1"/>
  <c r="G28" i="1"/>
  <c r="K28" i="1" s="1"/>
  <c r="P28" i="1"/>
  <c r="R28" i="1" s="1"/>
  <c r="T28" i="1" s="1"/>
  <c r="G35" i="1"/>
  <c r="J35" i="1" s="1"/>
  <c r="P35" i="1"/>
  <c r="R35" i="1" s="1"/>
  <c r="T35" i="1" s="1"/>
  <c r="P60" i="1"/>
  <c r="G60" i="1"/>
  <c r="K60" i="1" s="1"/>
  <c r="P49" i="1"/>
  <c r="G49" i="1"/>
  <c r="K49" i="1" s="1"/>
  <c r="G29" i="1"/>
  <c r="P29" i="1"/>
  <c r="G33" i="1"/>
  <c r="K33" i="1" s="1"/>
  <c r="P33" i="1"/>
  <c r="R33" i="1" s="1"/>
  <c r="T33" i="1" s="1"/>
  <c r="P45" i="1"/>
  <c r="G45" i="1"/>
  <c r="K45" i="1" s="1"/>
  <c r="P43" i="1"/>
  <c r="G43" i="1"/>
  <c r="K43" i="1" s="1"/>
  <c r="R63" i="1"/>
  <c r="T63" i="1" s="1"/>
  <c r="R52" i="1"/>
  <c r="T52" i="1" s="1"/>
  <c r="R23" i="1"/>
  <c r="T23" i="1" s="1"/>
  <c r="R25" i="1" l="1"/>
  <c r="T25" i="1" s="1"/>
  <c r="R29" i="1"/>
  <c r="T29" i="1" s="1"/>
  <c r="K29" i="1"/>
  <c r="R43" i="1"/>
  <c r="T43" i="1" s="1"/>
  <c r="R49" i="1"/>
  <c r="T49" i="1" s="1"/>
  <c r="R38" i="1"/>
  <c r="T38" i="1" s="1"/>
  <c r="R45" i="1"/>
  <c r="T45" i="1" s="1"/>
  <c r="R60" i="1"/>
  <c r="T60" i="1" s="1"/>
  <c r="R46" i="1"/>
  <c r="T46" i="1" s="1"/>
  <c r="R36" i="1"/>
  <c r="T36" i="1" s="1"/>
  <c r="R39" i="1"/>
  <c r="T39" i="1" s="1"/>
  <c r="C18" i="1"/>
  <c r="R50" i="1"/>
  <c r="T50" i="1" s="1"/>
  <c r="R56" i="1"/>
  <c r="T56" i="1" s="1"/>
  <c r="R22" i="1"/>
  <c r="T22" i="1" s="1"/>
  <c r="E14" i="1" s="1"/>
</calcChain>
</file>

<file path=xl/sharedStrings.xml><?xml version="1.0" encoding="utf-8"?>
<sst xmlns="http://schemas.openxmlformats.org/spreadsheetml/2006/main" count="585" uniqueCount="250">
  <si>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</si>
  <si>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</si>
  <si>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</si>
  <si>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</si>
  <si>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</si>
  <si>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</si>
  <si>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</si>
  <si>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</si>
  <si>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</si>
  <si>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</si>
  <si>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</si>
  <si>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</si>
  <si>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</si>
  <si>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</si>
  <si>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</si>
  <si>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</si>
  <si>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</si>
  <si>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</si>
  <si>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</si>
  <si>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</si>
  <si>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</si>
  <si>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</si>
  <si>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</si>
  <si>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</si>
  <si>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</si>
  <si>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</si>
  <si>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</si>
  <si>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</si>
  <si>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</si>
  <si>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</si>
  <si>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</si>
  <si>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</si>
  <si>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</si>
  <si>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</si>
  <si>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</si>
  <si>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</si>
  <si>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</si>
  <si>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</si>
  <si>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</si>
  <si>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AS CrB / GSC 2579-1125               </t>
  </si>
  <si>
    <t>EW</t>
  </si>
  <si>
    <t>IBVS 5781</t>
  </si>
  <si>
    <t>IBVS 5871</t>
  </si>
  <si>
    <t>II</t>
  </si>
  <si>
    <t>IBVS 5894</t>
  </si>
  <si>
    <t>IBVS 5543</t>
  </si>
  <si>
    <t>IBVS 5653</t>
  </si>
  <si>
    <t>IBVS 5713</t>
  </si>
  <si>
    <t>IBVS 5920</t>
  </si>
  <si>
    <t>IBVS 5945</t>
  </si>
  <si>
    <t>IBVS 5295</t>
  </si>
  <si>
    <t>IBVS 5918</t>
  </si>
  <si>
    <t>IBVS 5929</t>
  </si>
  <si>
    <t>IBVS 5959</t>
  </si>
  <si>
    <t>IBVS 5992</t>
  </si>
  <si>
    <t>Add cycle</t>
  </si>
  <si>
    <t>Old Cycle</t>
  </si>
  <si>
    <t>IBVS 6029</t>
  </si>
  <si>
    <t>Nelson</t>
  </si>
  <si>
    <t>OEJV 0160</t>
  </si>
  <si>
    <t>OEJV</t>
  </si>
  <si>
    <t>IBVS 6092</t>
  </si>
  <si>
    <t>IBVS 6094</t>
  </si>
  <si>
    <t>i</t>
  </si>
  <si>
    <t>IBVS 6149</t>
  </si>
  <si>
    <t>OEJV 0165</t>
  </si>
  <si>
    <t>RHN 2016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</si>
  <si>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</si>
  <si>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</si>
  <si>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</si>
  <si>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</si>
  <si>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</si>
  <si>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vis</t>
  </si>
  <si>
    <t>PE</t>
  </si>
  <si>
    <t>CCD</t>
  </si>
  <si>
    <t>S7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</si>
  <si>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</si>
  <si>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</si>
  <si>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</si>
  <si>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</si>
  <si>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</si>
  <si>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</si>
  <si>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</si>
  <si>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</si>
  <si>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</si>
  <si>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2451291.8339 </t>
  </si>
  <si>
    <t> 23.04.1999 08:00 </t>
  </si>
  <si>
    <t> -0.0009 </t>
  </si>
  <si>
    <t>C </t>
  </si>
  <si>
    <t>o</t>
  </si>
  <si>
    <t> Blättler &amp; Diethelm </t>
  </si>
  <si>
    <t>IBVS 5295 </t>
  </si>
  <si>
    <t>2451305.731 </t>
  </si>
  <si>
    <t> 07.05.1999 05:32 </t>
  </si>
  <si>
    <t> 0.002 </t>
  </si>
  <si>
    <t>2452360.5321 </t>
  </si>
  <si>
    <t> 27.03.2002 00:46 </t>
  </si>
  <si>
    <t> -0.0000 </t>
  </si>
  <si>
    <t>2452365.4792 </t>
  </si>
  <si>
    <t> 31.03.2002 23:30 </t>
  </si>
  <si>
    <t> -0.0015 </t>
  </si>
  <si>
    <t>2452368.341 </t>
  </si>
  <si>
    <t> 03.04.2002 20:11 </t>
  </si>
  <si>
    <t> 0.005 </t>
  </si>
  <si>
    <t>2452368.5276 </t>
  </si>
  <si>
    <t> 04.04.2002 00:39 </t>
  </si>
  <si>
    <t> 0.0016 </t>
  </si>
  <si>
    <t>2452395.3639 </t>
  </si>
  <si>
    <t> 30.04.2002 20:44 </t>
  </si>
  <si>
    <t> 0.0015 </t>
  </si>
  <si>
    <t>2452395.5523 </t>
  </si>
  <si>
    <t> 01.05.2002 01:15 </t>
  </si>
  <si>
    <t> -0.0004 </t>
  </si>
  <si>
    <t>2452409.4459 </t>
  </si>
  <si>
    <t> 14.05.2002 22:42 </t>
  </si>
  <si>
    <t> -0.0008 </t>
  </si>
  <si>
    <t>2452415.5358 </t>
  </si>
  <si>
    <t> 21.05.2002 00:51 </t>
  </si>
  <si>
    <t> -0.0014 </t>
  </si>
  <si>
    <t>2452835.4036 </t>
  </si>
  <si>
    <t> 14.07.2003 21:41 </t>
  </si>
  <si>
    <t> 0.0006 </t>
  </si>
  <si>
    <t>ns</t>
  </si>
  <si>
    <t> E.Blättler </t>
  </si>
  <si>
    <t>IBVS 5543 </t>
  </si>
  <si>
    <t>2453216.4409 </t>
  </si>
  <si>
    <t> 29.07.2004 22:34 </t>
  </si>
  <si>
    <t>IBVS 5653 </t>
  </si>
  <si>
    <t>2453541.5235 </t>
  </si>
  <si>
    <t> 20.06.2005 00:33 </t>
  </si>
  <si>
    <t> -0.0001 </t>
  </si>
  <si>
    <t>2453917.4231 </t>
  </si>
  <si>
    <t> 30.06.2006 22:09 </t>
  </si>
  <si>
    <t> -0.0003 </t>
  </si>
  <si>
    <t>R</t>
  </si>
  <si>
    <t>IBVS 5713 </t>
  </si>
  <si>
    <t>2454197.4022 </t>
  </si>
  <si>
    <t> 06.04.2007 21:39 </t>
  </si>
  <si>
    <t> 0.0049 </t>
  </si>
  <si>
    <t>IBVS 5781 </t>
  </si>
  <si>
    <t>2454587.1944 </t>
  </si>
  <si>
    <t> 30.04.2008 16:39 </t>
  </si>
  <si>
    <t> 0.0033 </t>
  </si>
  <si>
    <t> H.Itoh </t>
  </si>
  <si>
    <t>VSB 48 </t>
  </si>
  <si>
    <t>2454684.4528 </t>
  </si>
  <si>
    <t> 05.08.2008 22:52 </t>
  </si>
  <si>
    <t> 0.0036 </t>
  </si>
  <si>
    <t>IBVS 5871 </t>
  </si>
  <si>
    <t>2454932.4535 </t>
  </si>
  <si>
    <t> 10.04.2009 22:53 </t>
  </si>
  <si>
    <t> 0.0056 </t>
  </si>
  <si>
    <t>-I</t>
  </si>
  <si>
    <t> F.Agerer </t>
  </si>
  <si>
    <t>BAVM 209 </t>
  </si>
  <si>
    <t>2454945.7762 </t>
  </si>
  <si>
    <t> 24.04.2009 06:37 </t>
  </si>
  <si>
    <t>6663</t>
  </si>
  <si>
    <t> 0.0052 </t>
  </si>
  <si>
    <t> R.Nelson </t>
  </si>
  <si>
    <t>IBVS 5929 </t>
  </si>
  <si>
    <t>2454955.8638 </t>
  </si>
  <si>
    <t> 04.05.2009 08:43 </t>
  </si>
  <si>
    <t>6689.5</t>
  </si>
  <si>
    <t> 0.0054 </t>
  </si>
  <si>
    <t> R.Diethelm </t>
  </si>
  <si>
    <t>IBVS 5894 </t>
  </si>
  <si>
    <t>2454968.4261 </t>
  </si>
  <si>
    <t> 16.05.2009 22:13 </t>
  </si>
  <si>
    <t>6722.5</t>
  </si>
  <si>
    <t> 0.0060 </t>
  </si>
  <si>
    <t>-U;-I</t>
  </si>
  <si>
    <t> M.Rätz &amp; K.Rätz </t>
  </si>
  <si>
    <t>BAVM 214 </t>
  </si>
  <si>
    <t>2455038.4675 </t>
  </si>
  <si>
    <t> 25.07.2009 23:13 </t>
  </si>
  <si>
    <t>6906.5</t>
  </si>
  <si>
    <t> 0.0063 </t>
  </si>
  <si>
    <t>IBVS 5920 </t>
  </si>
  <si>
    <t>2455067.3977 </t>
  </si>
  <si>
    <t> 23.08.2009 21:32 </t>
  </si>
  <si>
    <t>6982.5</t>
  </si>
  <si>
    <t> 0.0065 </t>
  </si>
  <si>
    <t>2455296.7443 </t>
  </si>
  <si>
    <t> 10.04.2010 05:51 </t>
  </si>
  <si>
    <t>7585</t>
  </si>
  <si>
    <t> 0.0067 </t>
  </si>
  <si>
    <t>IBVS 5945 </t>
  </si>
  <si>
    <t>2455657.994 </t>
  </si>
  <si>
    <t> 06.04.2011 11:51 </t>
  </si>
  <si>
    <t>8534</t>
  </si>
  <si>
    <t> 0.012 </t>
  </si>
  <si>
    <t>Rc</t>
  </si>
  <si>
    <t> K.Shiokawa </t>
  </si>
  <si>
    <t>VSB 53 </t>
  </si>
  <si>
    <t>2455658.1831 </t>
  </si>
  <si>
    <t> 06.04.2011 16:23 </t>
  </si>
  <si>
    <t>8534.5</t>
  </si>
  <si>
    <t> 0.0107 </t>
  </si>
  <si>
    <t>2455660.8457 </t>
  </si>
  <si>
    <t> 09.04.2011 08:17 </t>
  </si>
  <si>
    <t>8541.5</t>
  </si>
  <si>
    <t> 0.0087 </t>
  </si>
  <si>
    <t>IBVS 5992 </t>
  </si>
  <si>
    <t>2456018.0982 </t>
  </si>
  <si>
    <t> 31.03.2012 14:21 </t>
  </si>
  <si>
    <t>9480</t>
  </si>
  <si>
    <t> 0.0137 </t>
  </si>
  <si>
    <t>VSB 55 </t>
  </si>
  <si>
    <t>2456018.2882 </t>
  </si>
  <si>
    <t> 31.03.2012 18:55 </t>
  </si>
  <si>
    <t>9480.5</t>
  </si>
  <si>
    <t> 0.0133 </t>
  </si>
  <si>
    <t>2456038.8460 </t>
  </si>
  <si>
    <t> 21.04.2012 08:18 </t>
  </si>
  <si>
    <t>9534.5</t>
  </si>
  <si>
    <t> 0.0156 </t>
  </si>
  <si>
    <t>IBVS 6029 </t>
  </si>
  <si>
    <t>2456390.7656 </t>
  </si>
  <si>
    <t> 08.04.2013 06:22 </t>
  </si>
  <si>
    <t>10459</t>
  </si>
  <si>
    <t> 0.0169 </t>
  </si>
  <si>
    <t>IBVS 6092 </t>
  </si>
  <si>
    <t>2456409.41128 </t>
  </si>
  <si>
    <t> 26.04.2013 21:52 </t>
  </si>
  <si>
    <t>10508</t>
  </si>
  <si>
    <t> 0.01032 </t>
  </si>
  <si>
    <t> M.Vraš?ak </t>
  </si>
  <si>
    <t>OEJV 0160 </t>
  </si>
  <si>
    <t>2456409.41206 </t>
  </si>
  <si>
    <t> 26.04.2013 21:53 </t>
  </si>
  <si>
    <t> 0.01110 </t>
  </si>
  <si>
    <t>2456409.41242 </t>
  </si>
  <si>
    <t> 0.01146 </t>
  </si>
  <si>
    <t>2456446.3428 </t>
  </si>
  <si>
    <t> 02.06.2013 20:13 </t>
  </si>
  <si>
    <t>10605</t>
  </si>
  <si>
    <t> 0.0180 </t>
  </si>
  <si>
    <t> N.Ruocco </t>
  </si>
  <si>
    <t>IBVS 6094 </t>
  </si>
  <si>
    <t>IBVS 6195</t>
  </si>
  <si>
    <t>BAD?</t>
  </si>
  <si>
    <t>VSB-64</t>
  </si>
  <si>
    <t>RHN 2020</t>
  </si>
  <si>
    <t>IBVS 6262</t>
  </si>
  <si>
    <t>JAVSO 49, 256</t>
  </si>
  <si>
    <t>IBVS, 63, 6262</t>
  </si>
  <si>
    <t>VSB, 91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</si>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</sst>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9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0" fillId="24" borderId="24" xfId="0" applyFill="1" applyBorder="1" applyAlignment="1">
      <alignment horizontal="left" wrapText="1" indent="1"/>
    </xf>
    <xf numFmtId="0" fontId="0" fillId="24" borderId="24" xfId="0" applyFill="1" applyBorder="1" applyAlignment="1">
      <alignment horizontal="center" wrapText="1"/>
    </xf>
    <xf numFmtId="0" fontId="0" fillId="24" borderId="24" xfId="0" applyFill="1" applyBorder="1" applyAlignment="1">
      <alignment horizontal="right" wrapText="1"/>
    </xf>
    <xf numFmtId="0" fontId="23" fillId="24" borderId="24" xfId="38" applyFill="1" applyBorder="1" applyAlignment="1" applyProtection="1">
      <alignment horizontal="right"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39" fillId="0" borderId="0" xfId="42" applyFont="1" applyAlignment="1">
      <alignment wrapText="1"/>
    </xf>
    <xf numFmtId="0" fontId="39" fillId="0" borderId="0" xfId="42" applyFont="1" applyAlignment="1">
      <alignment horizontal="center" wrapText="1"/>
    </xf>
    <xf numFmtId="0" fontId="39" fillId="0" borderId="0" xfId="42" applyFont="1" applyAlignment="1">
      <alignment horizontal="left" wrapText="1"/>
    </xf>
    <xf numFmtId="0" fontId="40" fillId="0" borderId="0" xfId="0" applyFont="1" applyAlignment="1">
      <alignment horizontal="left"/>
    </xf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165" fontId="41" fillId="0" borderId="0" xfId="0" applyNumberFormat="1" applyFont="1" applyAlignment="1">
      <alignment horizontal="left" vertical="top"/>
    </xf>
    <xf numFmtId="0" fontId="41" fillId="0" borderId="0" xfId="0" applyFont="1" applyAlignment="1">
      <alignment horizontal="left" vertical="top"/>
    </xf>
    <xf numFmtId="166" fontId="41" fillId="0" borderId="0" xfId="0" applyNumberFormat="1" applyFont="1" applyAlignment="1">
      <alignment horizontal="left" vertical="top"/>
    </xf>
    <xf numFmtId="0" fontId="4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vertical="center" wrapText="1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2-4D32-95D1-0641E1E8B4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2-4D32-95D1-0641E1E8B4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4">
                  <c:v>-2.1800499962409958E-3</c:v>
                </c:pt>
                <c:pt idx="18">
                  <c:v>2.8630000015255064E-3</c:v>
                </c:pt>
                <c:pt idx="21">
                  <c:v>3.2536500002606772E-3</c:v>
                </c:pt>
                <c:pt idx="23">
                  <c:v>3.695650004374329E-3</c:v>
                </c:pt>
                <c:pt idx="40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2-4D32-95D1-0641E1E8B4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0">
                  <c:v>0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5">
                  <c:v>2.7402999985497445E-3</c:v>
                </c:pt>
                <c:pt idx="16">
                  <c:v>8.4110000170767307E-4</c:v>
                </c:pt>
                <c:pt idx="17">
                  <c:v>1.0454500006744638E-3</c:v>
                </c:pt>
                <c:pt idx="19">
                  <c:v>2.5224999990314245E-3</c:v>
                </c:pt>
                <c:pt idx="20">
                  <c:v>2.6775500009534881E-3</c:v>
                </c:pt>
                <c:pt idx="22">
                  <c:v>3.5264499965705909E-3</c:v>
                </c:pt>
                <c:pt idx="24">
                  <c:v>3.6698999974760227E-3</c:v>
                </c:pt>
                <c:pt idx="25">
                  <c:v>8.6432000025524758E-3</c:v>
                </c:pt>
                <c:pt idx="26">
                  <c:v>7.4140500000794418E-3</c:v>
                </c:pt>
                <c:pt idx="27">
                  <c:v>5.4059499962022528E-3</c:v>
                </c:pt>
                <c:pt idx="28">
                  <c:v>1.0091399999510031E-2</c:v>
                </c:pt>
                <c:pt idx="29">
                  <c:v>9.7622500034049153E-3</c:v>
                </c:pt>
                <c:pt idx="30">
                  <c:v>1.2014050000288989E-2</c:v>
                </c:pt>
                <c:pt idx="31">
                  <c:v>1.3015700002142694E-2</c:v>
                </c:pt>
                <c:pt idx="32">
                  <c:v>1.3015700002142694E-2</c:v>
                </c:pt>
                <c:pt idx="36">
                  <c:v>1.3089000007312279E-2</c:v>
                </c:pt>
                <c:pt idx="37">
                  <c:v>1.3869000002159737E-2</c:v>
                </c:pt>
                <c:pt idx="38">
                  <c:v>1.4229000007617287E-2</c:v>
                </c:pt>
                <c:pt idx="39">
                  <c:v>1.4103900000918657E-2</c:v>
                </c:pt>
                <c:pt idx="41">
                  <c:v>2.3496700006944593E-2</c:v>
                </c:pt>
                <c:pt idx="42">
                  <c:v>2.397239999845624E-2</c:v>
                </c:pt>
                <c:pt idx="43">
                  <c:v>2.8120249997300562E-2</c:v>
                </c:pt>
                <c:pt idx="44">
                  <c:v>3.6733550005010329E-2</c:v>
                </c:pt>
                <c:pt idx="45">
                  <c:v>3.422139999747742E-2</c:v>
                </c:pt>
                <c:pt idx="46">
                  <c:v>4.3766399998276029E-2</c:v>
                </c:pt>
                <c:pt idx="47">
                  <c:v>4.3766399998276029E-2</c:v>
                </c:pt>
                <c:pt idx="48">
                  <c:v>6.3191950001055375E-2</c:v>
                </c:pt>
                <c:pt idx="49">
                  <c:v>7.1298849870800041E-2</c:v>
                </c:pt>
                <c:pt idx="50">
                  <c:v>7.3414600003161468E-2</c:v>
                </c:pt>
                <c:pt idx="51">
                  <c:v>7.3485449996951502E-2</c:v>
                </c:pt>
                <c:pt idx="52">
                  <c:v>7.4785400000109803E-2</c:v>
                </c:pt>
                <c:pt idx="53">
                  <c:v>8.2677699996565934E-2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2-4D32-95D1-0641E1E8B406}"/>
            </c:ext>
          </c:extLst>
        </c:ser>
        <c:ser>
          <c:idx val="6"/>
          <c:order val="4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2-4D32-95D1-0641E1E8B406}"/>
            </c:ext>
          </c:extLst>
        </c:ser>
        <c:ser>
          <c:idx val="7"/>
          <c:order val="5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3">
                  <c:v>-7.8166138731716295E-2</c:v>
                </c:pt>
                <c:pt idx="14">
                  <c:v>-6.8355952077040733E-2</c:v>
                </c:pt>
                <c:pt idx="15">
                  <c:v>-6.1049225712976059E-2</c:v>
                </c:pt>
                <c:pt idx="16">
                  <c:v>-5.0876434690811226E-2</c:v>
                </c:pt>
                <c:pt idx="17">
                  <c:v>-4.833820411838631E-2</c:v>
                </c:pt>
                <c:pt idx="18">
                  <c:v>-4.1865964517858581E-2</c:v>
                </c:pt>
                <c:pt idx="19">
                  <c:v>-4.1518261699718187E-2</c:v>
                </c:pt>
                <c:pt idx="20">
                  <c:v>-4.1255000994554744E-2</c:v>
                </c:pt>
                <c:pt idx="21">
                  <c:v>-4.0927166908879514E-2</c:v>
                </c:pt>
                <c:pt idx="22">
                  <c:v>-3.909924352208427E-2</c:v>
                </c:pt>
                <c:pt idx="23">
                  <c:v>-3.8344231688407976E-2</c:v>
                </c:pt>
                <c:pt idx="24">
                  <c:v>-3.2358776033276804E-2</c:v>
                </c:pt>
                <c:pt idx="25">
                  <c:v>-2.2931062478555683E-2</c:v>
                </c:pt>
                <c:pt idx="26">
                  <c:v>-2.2926095295439403E-2</c:v>
                </c:pt>
                <c:pt idx="27">
                  <c:v>-2.2856554731811321E-2</c:v>
                </c:pt>
                <c:pt idx="28">
                  <c:v>-1.3533152022532316E-2</c:v>
                </c:pt>
                <c:pt idx="29">
                  <c:v>-1.3528184839416021E-2</c:v>
                </c:pt>
                <c:pt idx="30">
                  <c:v>-1.2991729062856561E-2</c:v>
                </c:pt>
                <c:pt idx="31">
                  <c:v>-3.8074074808337188E-3</c:v>
                </c:pt>
                <c:pt idx="32">
                  <c:v>-3.8074074808337188E-3</c:v>
                </c:pt>
                <c:pt idx="33">
                  <c:v>-3.3206235354371616E-3</c:v>
                </c:pt>
                <c:pt idx="34">
                  <c:v>-3.3206235354371616E-3</c:v>
                </c:pt>
                <c:pt idx="35">
                  <c:v>-3.3206235354371616E-3</c:v>
                </c:pt>
                <c:pt idx="36">
                  <c:v>-3.3206235354371616E-3</c:v>
                </c:pt>
                <c:pt idx="37">
                  <c:v>-3.3206235354371616E-3</c:v>
                </c:pt>
                <c:pt idx="38">
                  <c:v>-3.3206235354371616E-3</c:v>
                </c:pt>
                <c:pt idx="39">
                  <c:v>-2.3569900108766223E-3</c:v>
                </c:pt>
                <c:pt idx="40">
                  <c:v>5.9481401595626315E-3</c:v>
                </c:pt>
                <c:pt idx="41">
                  <c:v>1.5365919348051177E-2</c:v>
                </c:pt>
                <c:pt idx="42">
                  <c:v>1.5574541038935408E-2</c:v>
                </c:pt>
                <c:pt idx="43">
                  <c:v>2.3626344870443794E-2</c:v>
                </c:pt>
                <c:pt idx="44">
                  <c:v>3.5040931671681486E-2</c:v>
                </c:pt>
                <c:pt idx="45">
                  <c:v>3.5145242517123615E-2</c:v>
                </c:pt>
                <c:pt idx="46">
                  <c:v>4.3589453814819018E-2</c:v>
                </c:pt>
                <c:pt idx="47">
                  <c:v>4.3589453814819018E-2</c:v>
                </c:pt>
                <c:pt idx="48">
                  <c:v>6.2380307543749486E-2</c:v>
                </c:pt>
                <c:pt idx="49">
                  <c:v>7.1887496028331249E-2</c:v>
                </c:pt>
                <c:pt idx="50">
                  <c:v>7.2856096736008097E-2</c:v>
                </c:pt>
                <c:pt idx="51">
                  <c:v>7.2861063919124364E-2</c:v>
                </c:pt>
                <c:pt idx="52">
                  <c:v>7.408795814884836E-2</c:v>
                </c:pt>
                <c:pt idx="53">
                  <c:v>8.4211077339850282E-2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2-4D32-95D1-0641E1E8B406}"/>
            </c:ext>
          </c:extLst>
        </c:ser>
        <c:ser>
          <c:idx val="8"/>
          <c:order val="6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Active!$V$2:$V$24</c:f>
              <c:numCache>
                <c:formatCode>General</c:formatCode>
                <c:ptCount val="23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19000</c:v>
                </c:pt>
              </c:numCache>
            </c:numRef>
          </c:xVal>
          <c:yVal>
            <c:numRef>
              <c:f>Active!$W$2:$W$24</c:f>
              <c:numCache>
                <c:formatCode>General</c:formatCode>
                <c:ptCount val="23"/>
                <c:pt idx="0">
                  <c:v>5.266498396114914E-3</c:v>
                </c:pt>
                <c:pt idx="1">
                  <c:v>2.5372610766573453E-3</c:v>
                </c:pt>
                <c:pt idx="2">
                  <c:v>3.2867203565978688E-4</c:v>
                </c:pt>
                <c:pt idx="3">
                  <c:v>-1.3592687268777616E-3</c:v>
                </c:pt>
                <c:pt idx="4">
                  <c:v>-2.5265612109553002E-3</c:v>
                </c:pt>
                <c:pt idx="5">
                  <c:v>-3.1732054165728289E-3</c:v>
                </c:pt>
                <c:pt idx="6">
                  <c:v>-3.299201343730347E-3</c:v>
                </c:pt>
                <c:pt idx="7">
                  <c:v>-2.9045489924278559E-3</c:v>
                </c:pt>
                <c:pt idx="8">
                  <c:v>-1.9892483626653542E-3</c:v>
                </c:pt>
                <c:pt idx="9">
                  <c:v>-5.5329945444284288E-4</c:v>
                </c:pt>
                <c:pt idx="10">
                  <c:v>1.4032977322396781E-3</c:v>
                </c:pt>
                <c:pt idx="11">
                  <c:v>3.8805431973822097E-3</c:v>
                </c:pt>
                <c:pt idx="12">
                  <c:v>6.8784369409847518E-3</c:v>
                </c:pt>
                <c:pt idx="13">
                  <c:v>1.0396978963047301E-2</c:v>
                </c:pt>
                <c:pt idx="14">
                  <c:v>1.4436169263569864E-2</c:v>
                </c:pt>
                <c:pt idx="15">
                  <c:v>1.899600784255244E-2</c:v>
                </c:pt>
                <c:pt idx="16">
                  <c:v>2.4076494699995017E-2</c:v>
                </c:pt>
                <c:pt idx="17">
                  <c:v>2.9677629835897612E-2</c:v>
                </c:pt>
                <c:pt idx="18">
                  <c:v>3.5799413250260211E-2</c:v>
                </c:pt>
                <c:pt idx="19">
                  <c:v>4.244184494308282E-2</c:v>
                </c:pt>
                <c:pt idx="20">
                  <c:v>4.9604924914365446E-2</c:v>
                </c:pt>
                <c:pt idx="21">
                  <c:v>5.7288653164108076E-2</c:v>
                </c:pt>
                <c:pt idx="22">
                  <c:v>7.4218054498973368E-2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2-4D32-95D1-0641E1E8B406}"/>
            </c:ext>
          </c:extLst>
        </c:ser>
        <c:ser>
          <c:idx val="2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  <c:pt idx="33">
                  <c:v>6.4390000043204054E-3</c:v>
                </c:pt>
                <c:pt idx="34">
                  <c:v>7.2190000064438209E-3</c:v>
                </c:pt>
                <c:pt idx="35">
                  <c:v>7.5790000046254136E-3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2-4D32-95D1-0641E1E8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45216"/>
        <c:axId val="1"/>
      </c:scatterChart>
      <c:valAx>
        <c:axId val="548045216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4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441860465116277"/>
          <c:w val="0.65563909774436091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05263157894736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4-4B52-A1D0-F841396902D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4">
                  <c:v>-2.1800499962409958E-3</c:v>
                </c:pt>
                <c:pt idx="15">
                  <c:v>2.7402999985497445E-3</c:v>
                </c:pt>
                <c:pt idx="16">
                  <c:v>1.0454500006744638E-3</c:v>
                </c:pt>
                <c:pt idx="17">
                  <c:v>2.8630000015255064E-3</c:v>
                </c:pt>
                <c:pt idx="18">
                  <c:v>2.5224999990314245E-3</c:v>
                </c:pt>
                <c:pt idx="19">
                  <c:v>2.6775500009534881E-3</c:v>
                </c:pt>
                <c:pt idx="20">
                  <c:v>3.2536500002606772E-3</c:v>
                </c:pt>
                <c:pt idx="21">
                  <c:v>3.5264499965705909E-3</c:v>
                </c:pt>
                <c:pt idx="22">
                  <c:v>3.695650004374329E-3</c:v>
                </c:pt>
                <c:pt idx="23">
                  <c:v>3.6698999974760227E-3</c:v>
                </c:pt>
                <c:pt idx="24">
                  <c:v>5.4059499962022528E-3</c:v>
                </c:pt>
                <c:pt idx="25">
                  <c:v>1.2014050000288989E-2</c:v>
                </c:pt>
                <c:pt idx="27">
                  <c:v>1.3015700002142694E-2</c:v>
                </c:pt>
                <c:pt idx="34">
                  <c:v>1.4103900000918657E-2</c:v>
                </c:pt>
                <c:pt idx="35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4-4B52-A1D0-F841396902D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  <c:pt idx="26">
                  <c:v>1.3015700002142694E-2</c:v>
                </c:pt>
                <c:pt idx="36">
                  <c:v>2.8120249997300562E-2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4-4B52-A1D0-F841396902D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6.4390000043204054E-3</c:v>
                </c:pt>
                <c:pt idx="29">
                  <c:v>7.2190000064438209E-3</c:v>
                </c:pt>
                <c:pt idx="30">
                  <c:v>7.5790000046254136E-3</c:v>
                </c:pt>
                <c:pt idx="31">
                  <c:v>1.3089000007312279E-2</c:v>
                </c:pt>
                <c:pt idx="32">
                  <c:v>1.3869000002159737E-2</c:v>
                </c:pt>
                <c:pt idx="33">
                  <c:v>1.4229000007617287E-2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4-4B52-A1D0-F841396902D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4-4B52-A1D0-F841396902D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4-4B52-A1D0-F841396902D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4-4B52-A1D0-F841396902D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13">
                  <c:v>-9.5148274081838322E-3</c:v>
                </c:pt>
                <c:pt idx="14">
                  <c:v>-6.5331002258730893E-3</c:v>
                </c:pt>
                <c:pt idx="15">
                  <c:v>-4.3122796257824055E-3</c:v>
                </c:pt>
                <c:pt idx="16">
                  <c:v>-4.4886703867699426E-4</c:v>
                </c:pt>
                <c:pt idx="17">
                  <c:v>1.5183180340070032E-3</c:v>
                </c:pt>
                <c:pt idx="18">
                  <c:v>1.6239995037597918E-3</c:v>
                </c:pt>
                <c:pt idx="19">
                  <c:v>1.7040154737154728E-3</c:v>
                </c:pt>
                <c:pt idx="20">
                  <c:v>1.8036580023395275E-3</c:v>
                </c:pt>
                <c:pt idx="21">
                  <c:v>2.3592405861827433E-3</c:v>
                </c:pt>
                <c:pt idx="22">
                  <c:v>2.5887203490745081E-3</c:v>
                </c:pt>
                <c:pt idx="23">
                  <c:v>4.4079513641046043E-3</c:v>
                </c:pt>
                <c:pt idx="24">
                  <c:v>7.2960749589200229E-3</c:v>
                </c:pt>
                <c:pt idx="25">
                  <c:v>1.0294409229334774E-2</c:v>
                </c:pt>
                <c:pt idx="26">
                  <c:v>1.30859097660905E-2</c:v>
                </c:pt>
                <c:pt idx="27">
                  <c:v>1.30859097660905E-2</c:v>
                </c:pt>
                <c:pt idx="28">
                  <c:v>1.3233863823744401E-2</c:v>
                </c:pt>
                <c:pt idx="29">
                  <c:v>1.3233863823744401E-2</c:v>
                </c:pt>
                <c:pt idx="30">
                  <c:v>1.3233863823744401E-2</c:v>
                </c:pt>
                <c:pt idx="31">
                  <c:v>1.3233863823744401E-2</c:v>
                </c:pt>
                <c:pt idx="32">
                  <c:v>1.3233863823744401E-2</c:v>
                </c:pt>
                <c:pt idx="33">
                  <c:v>1.3233863823744401E-2</c:v>
                </c:pt>
                <c:pt idx="34">
                  <c:v>1.3526752468487835E-2</c:v>
                </c:pt>
                <c:pt idx="35">
                  <c:v>1.6051029860297231E-2</c:v>
                </c:pt>
                <c:pt idx="36">
                  <c:v>2.1424177729585298E-2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4-4B52-A1D0-F841396902DF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</c:numCache>
            </c:numRef>
          </c:xVal>
          <c:yVal>
            <c:numRef>
              <c:f>'A (2)'!$W$2:$W$20</c:f>
              <c:numCache>
                <c:formatCode>General</c:formatCode>
                <c:ptCount val="19"/>
                <c:pt idx="0">
                  <c:v>2.3E-3</c:v>
                </c:pt>
                <c:pt idx="1">
                  <c:v>1.25E-3</c:v>
                </c:pt>
                <c:pt idx="2">
                  <c:v>4.999999999999999E-4</c:v>
                </c:pt>
                <c:pt idx="3">
                  <c:v>4.9999999999999982E-5</c:v>
                </c:pt>
                <c:pt idx="4">
                  <c:v>-1E-4</c:v>
                </c:pt>
                <c:pt idx="5">
                  <c:v>4.9999999999999982E-5</c:v>
                </c:pt>
                <c:pt idx="6">
                  <c:v>4.999999999999999E-4</c:v>
                </c:pt>
                <c:pt idx="7">
                  <c:v>1.25E-3</c:v>
                </c:pt>
                <c:pt idx="8">
                  <c:v>2.3E-3</c:v>
                </c:pt>
                <c:pt idx="9">
                  <c:v>3.65E-3</c:v>
                </c:pt>
                <c:pt idx="10">
                  <c:v>5.3E-3</c:v>
                </c:pt>
                <c:pt idx="11">
                  <c:v>7.2499999999999995E-3</c:v>
                </c:pt>
                <c:pt idx="12">
                  <c:v>9.4999999999999998E-3</c:v>
                </c:pt>
                <c:pt idx="13">
                  <c:v>1.205E-2</c:v>
                </c:pt>
                <c:pt idx="14">
                  <c:v>1.49E-2</c:v>
                </c:pt>
                <c:pt idx="15">
                  <c:v>1.805E-2</c:v>
                </c:pt>
                <c:pt idx="16">
                  <c:v>2.1500000000000002E-2</c:v>
                </c:pt>
                <c:pt idx="17">
                  <c:v>2.5250000000000002E-2</c:v>
                </c:pt>
                <c:pt idx="18">
                  <c:v>2.93E-2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4-4B52-A1D0-F8413969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8632"/>
        <c:axId val="1"/>
      </c:scatterChart>
      <c:valAx>
        <c:axId val="68716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1353383458646"/>
          <c:y val="0.92441860465116277"/>
          <c:w val="0.81052631578947365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99AE0BD-68F1-F189-1C73-D4F7466B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7AC090B-634B-EFD9-8DB0-F3A5D34D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295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295" TargetMode="External"/><Relationship Id="rId12" Type="http://schemas.openxmlformats.org/officeDocument/2006/relationships/hyperlink" Target="http://www.konkoly.hu/cgi-bin/IBVS?5543" TargetMode="External"/><Relationship Id="rId17" Type="http://schemas.openxmlformats.org/officeDocument/2006/relationships/hyperlink" Target="http://vsolj.cetus-net.org/no48.pdf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781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95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713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konkoly.hu/cgi-bin/IBVS?5992" TargetMode="External"/><Relationship Id="rId36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www.konkoly.hu/cgi-bin/IBVS?529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vsolj.cetus-net.org/vsoljno53.pdf" TargetMode="External"/><Relationship Id="rId30" Type="http://schemas.openxmlformats.org/officeDocument/2006/relationships/hyperlink" Target="http://vsolj.cetus-net.org/vsoljno55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A74" sqref="A74:XFD7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17" si="0">+D$11+D$12*V2+D$13*V2^2</f>
        <v>5.266498396114914E-3</v>
      </c>
    </row>
    <row r="3" spans="1:23" ht="13.5" thickBot="1" x14ac:dyDescent="0.25">
      <c r="V3" s="56">
        <v>-3000</v>
      </c>
      <c r="W3" s="56">
        <f t="shared" si="0"/>
        <v>2.5372610766573453E-3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3.2867203565978688E-4</v>
      </c>
    </row>
    <row r="5" spans="1:23" ht="13.5" thickTop="1" x14ac:dyDescent="0.2">
      <c r="A5" s="10" t="s">
        <v>29</v>
      </c>
      <c r="B5" s="11"/>
      <c r="C5" s="12">
        <v>-9.5</v>
      </c>
      <c r="D5" s="11" t="s">
        <v>30</v>
      </c>
      <c r="E5" s="11"/>
      <c r="V5" s="56">
        <v>-1000</v>
      </c>
      <c r="W5" s="56">
        <f t="shared" si="0"/>
        <v>-1.3592687268777616E-3</v>
      </c>
    </row>
    <row r="6" spans="1:23" x14ac:dyDescent="0.2">
      <c r="A6" s="4" t="s">
        <v>1</v>
      </c>
      <c r="V6" s="56">
        <v>0</v>
      </c>
      <c r="W6" s="56">
        <f t="shared" si="0"/>
        <v>-2.5265612109553002E-3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-3.1732054165728289E-3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-3.299201343730347E-3</v>
      </c>
    </row>
    <row r="9" spans="1:23" x14ac:dyDescent="0.2">
      <c r="A9" s="25" t="s">
        <v>34</v>
      </c>
      <c r="B9" s="26">
        <v>66</v>
      </c>
      <c r="C9" s="23" t="str">
        <f>"F"&amp;B9</f>
        <v>F66</v>
      </c>
      <c r="D9" s="24" t="str">
        <f>"G"&amp;B9</f>
        <v>G66</v>
      </c>
      <c r="V9" s="56">
        <v>3000</v>
      </c>
      <c r="W9" s="56">
        <f t="shared" si="0"/>
        <v>-2.9045489924278559E-3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-1.9892483626653542E-3</v>
      </c>
    </row>
    <row r="11" spans="1:23" x14ac:dyDescent="0.2">
      <c r="A11" s="11" t="s">
        <v>15</v>
      </c>
      <c r="B11" s="11"/>
      <c r="C11" s="22">
        <f ca="1">INTERCEPT(INDIRECT($D$9):G974,INDIRECT($C$9):F974)</f>
        <v>-0.10534656474406295</v>
      </c>
      <c r="D11" s="2">
        <f>+E11*F11</f>
        <v>-2.5265612109553002E-3</v>
      </c>
      <c r="E11" s="48">
        <v>-2.5265612109553</v>
      </c>
      <c r="F11">
        <v>1E-3</v>
      </c>
      <c r="V11" s="56">
        <v>5000</v>
      </c>
      <c r="W11" s="56">
        <f t="shared" si="0"/>
        <v>-5.5329945444284288E-4</v>
      </c>
    </row>
    <row r="12" spans="1:23" x14ac:dyDescent="0.2">
      <c r="A12" s="11" t="s">
        <v>16</v>
      </c>
      <c r="B12" s="11"/>
      <c r="C12" s="22">
        <f ca="1">SLOPE(INDIRECT($D$9):G974,INDIRECT($C$9):F974)</f>
        <v>9.934366232582843E-6</v>
      </c>
      <c r="D12" s="2">
        <f>+E12*F12</f>
        <v>-9.0696834484753355E-7</v>
      </c>
      <c r="E12" s="49">
        <v>-90.696834484753353</v>
      </c>
      <c r="F12" s="50">
        <v>1E-8</v>
      </c>
      <c r="V12" s="56">
        <v>6000</v>
      </c>
      <c r="W12" s="56">
        <f t="shared" si="0"/>
        <v>1.4032977322396781E-3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2.6032413923000499E-10</v>
      </c>
      <c r="E13" s="51">
        <v>2.6032413923000499</v>
      </c>
      <c r="F13" s="50">
        <v>1E-10</v>
      </c>
      <c r="V13" s="56">
        <v>7000</v>
      </c>
      <c r="W13" s="56">
        <f t="shared" si="0"/>
        <v>3.8805431973822097E-3</v>
      </c>
    </row>
    <row r="14" spans="1:23" x14ac:dyDescent="0.2">
      <c r="A14" s="11"/>
      <c r="B14" s="11"/>
      <c r="C14" s="11"/>
      <c r="E14">
        <f>SUM(T21:T949)</f>
        <v>4.8785766892369548E-4</v>
      </c>
      <c r="V14" s="56">
        <v>8000</v>
      </c>
      <c r="W14" s="56">
        <f t="shared" si="0"/>
        <v>6.8784369409847518E-3</v>
      </c>
    </row>
    <row r="15" spans="1:23" x14ac:dyDescent="0.2">
      <c r="A15" s="13" t="s">
        <v>17</v>
      </c>
      <c r="B15" s="11"/>
      <c r="C15" s="14">
        <f ca="1">(C7+C11)+(C8+C12)*INT(MAX(F21:F3515))</f>
        <v>59763.469333377339</v>
      </c>
      <c r="D15" s="24">
        <f>+C7+INT(MAX(F21:F1587))*C8+D11+D12*INT(MAX(F21:F4022))+D13*INT(MAX(F21:F4049)^2)</f>
        <v>59763.460069875749</v>
      </c>
      <c r="E15" s="15" t="s">
        <v>55</v>
      </c>
      <c r="F15" s="12">
        <v>1</v>
      </c>
      <c r="V15" s="56">
        <v>9000</v>
      </c>
      <c r="W15" s="56">
        <f t="shared" si="0"/>
        <v>1.0396978963047301E-2</v>
      </c>
    </row>
    <row r="16" spans="1:23" x14ac:dyDescent="0.2">
      <c r="A16" s="17" t="s">
        <v>4</v>
      </c>
      <c r="B16" s="11"/>
      <c r="C16" s="18">
        <f ca="1">+C8+C12</f>
        <v>0.38066823436623259</v>
      </c>
      <c r="D16" s="24">
        <f>+C8+D12+2*D13*MAX(F21:F895)</f>
        <v>0.38066732752145643</v>
      </c>
      <c r="E16" s="15" t="s">
        <v>31</v>
      </c>
      <c r="F16" s="16">
        <f ca="1">NOW()+15018.5+$C$5/24</f>
        <v>59970.849608564815</v>
      </c>
      <c r="V16" s="56">
        <v>10000</v>
      </c>
      <c r="W16" s="56">
        <f t="shared" si="0"/>
        <v>1.4436169263569864E-2</v>
      </c>
    </row>
    <row r="17" spans="1:23" ht="13.5" thickBot="1" x14ac:dyDescent="0.25">
      <c r="A17" s="15" t="s">
        <v>28</v>
      </c>
      <c r="B17" s="11"/>
      <c r="C17" s="11">
        <f>COUNT(C21:C2173)</f>
        <v>54</v>
      </c>
      <c r="E17" s="15" t="s">
        <v>56</v>
      </c>
      <c r="F17" s="16">
        <f ca="1">ROUND(2*(F16-$C$7)/$C$8,0)/2+F15</f>
        <v>19627</v>
      </c>
      <c r="V17" s="56">
        <v>11000</v>
      </c>
      <c r="W17" s="56">
        <f t="shared" si="0"/>
        <v>1.899600784255244E-2</v>
      </c>
    </row>
    <row r="18" spans="1:23" ht="14.25" thickTop="1" thickBot="1" x14ac:dyDescent="0.25">
      <c r="A18" s="4" t="s">
        <v>76</v>
      </c>
      <c r="C18" s="58">
        <f ca="1">+C15</f>
        <v>59763.469333377339</v>
      </c>
      <c r="D18" s="59">
        <f ca="1">C16</f>
        <v>0.38066823436623259</v>
      </c>
      <c r="E18" s="15" t="s">
        <v>32</v>
      </c>
      <c r="F18" s="24">
        <f ca="1">ROUND(2*(F16-$C$15)/$C$16,0)/2+F15</f>
        <v>546</v>
      </c>
      <c r="V18" s="56">
        <v>12000</v>
      </c>
      <c r="W18" s="56">
        <f t="shared" ref="W18:W25" si="1">+D$11+D$12*V18+D$13*V18^2</f>
        <v>2.4076494699995017E-2</v>
      </c>
    </row>
    <row r="19" spans="1:23" ht="13.5" thickBot="1" x14ac:dyDescent="0.25">
      <c r="A19" s="4" t="s">
        <v>77</v>
      </c>
      <c r="C19" s="60">
        <f>+D15</f>
        <v>59763.460069875749</v>
      </c>
      <c r="D19" s="61">
        <f>+D16</f>
        <v>0.38066732752145643</v>
      </c>
      <c r="E19" s="15" t="s">
        <v>33</v>
      </c>
      <c r="F19" s="19">
        <f ca="1">+$C$15+$C$16*F18-15018.5-$C$5/24</f>
        <v>44953.210022674641</v>
      </c>
      <c r="V19" s="56">
        <v>13000</v>
      </c>
      <c r="W19" s="56">
        <f t="shared" si="1"/>
        <v>2.9677629835897612E-2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71</v>
      </c>
      <c r="I20" s="6" t="s">
        <v>72</v>
      </c>
      <c r="J20" s="6" t="s">
        <v>73</v>
      </c>
      <c r="K20" s="6" t="s">
        <v>74</v>
      </c>
      <c r="L20" s="6" t="s">
        <v>24</v>
      </c>
      <c r="M20" s="6" t="s">
        <v>25</v>
      </c>
      <c r="N20" s="6" t="s">
        <v>75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241</v>
      </c>
      <c r="V20" s="56">
        <v>14000</v>
      </c>
      <c r="W20" s="56">
        <f t="shared" si="1"/>
        <v>3.5799413250260211E-2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2" si="2">+(C21-C$7)/C$8</f>
        <v>-3174.0019855077412</v>
      </c>
      <c r="F21" s="33">
        <f t="shared" ref="F21:F52" si="3">ROUND(2*E21,0)/2</f>
        <v>-3174</v>
      </c>
      <c r="G21" s="33">
        <f t="shared" ref="G21:G53" si="4">+C21-(C$7+F21*C$8)</f>
        <v>-7.5579999975161627E-4</v>
      </c>
      <c r="H21" s="33"/>
      <c r="I21" s="33"/>
      <c r="J21" s="33"/>
      <c r="K21" s="33">
        <f t="shared" ref="K21:K34" si="5">G21</f>
        <v>-7.5579999975161627E-4</v>
      </c>
      <c r="L21" s="33"/>
      <c r="M21" s="33"/>
      <c r="N21" s="33"/>
      <c r="O21" s="33"/>
      <c r="P21" s="54">
        <f t="shared" ref="P21:P52" si="6">+D$11+D$12*F21+D$13*F21^2</f>
        <v>2.9747335436562691E-3</v>
      </c>
      <c r="Q21" s="55">
        <f t="shared" ref="Q21:Q52" si="7">+C21-15018.5</f>
        <v>36273.333899999998</v>
      </c>
      <c r="R21" s="56">
        <f t="shared" ref="R21:R53" si="8">+(P21-G21)^2</f>
        <v>1.3916880518491394E-5</v>
      </c>
      <c r="S21" s="56">
        <v>1</v>
      </c>
      <c r="T21" s="56">
        <f t="shared" ref="T21:T52" si="9">+S21*R21</f>
        <v>1.3916880518491394E-5</v>
      </c>
      <c r="U21" s="33"/>
      <c r="V21" s="56">
        <v>15000</v>
      </c>
      <c r="W21" s="56">
        <f t="shared" si="1"/>
        <v>4.244184494308282E-2</v>
      </c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2"/>
        <v>-3137.4939151464696</v>
      </c>
      <c r="F22" s="33">
        <f t="shared" si="3"/>
        <v>-3137.5</v>
      </c>
      <c r="G22" s="33">
        <f t="shared" si="4"/>
        <v>2.3162500001490116E-3</v>
      </c>
      <c r="H22" s="33"/>
      <c r="I22" s="33"/>
      <c r="J22" s="33"/>
      <c r="K22" s="33">
        <f t="shared" si="5"/>
        <v>2.3162500001490116E-3</v>
      </c>
      <c r="L22" s="33"/>
      <c r="M22" s="33"/>
      <c r="N22" s="33"/>
      <c r="O22" s="33"/>
      <c r="P22" s="54">
        <f t="shared" si="6"/>
        <v>2.8816583921959524E-3</v>
      </c>
      <c r="Q22" s="34">
        <f t="shared" si="7"/>
        <v>36287.231</v>
      </c>
      <c r="R22" s="56">
        <f t="shared" si="8"/>
        <v>3.1968664979710712E-7</v>
      </c>
      <c r="S22" s="56">
        <v>0.1</v>
      </c>
      <c r="T22" s="56">
        <f t="shared" si="9"/>
        <v>3.1968664979710711E-8</v>
      </c>
      <c r="V22" s="56">
        <v>16000</v>
      </c>
      <c r="W22" s="56">
        <f t="shared" si="1"/>
        <v>4.9604924914365446E-2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2"/>
        <v>-366.50192574285768</v>
      </c>
      <c r="F23" s="33">
        <f t="shared" si="3"/>
        <v>-366.5</v>
      </c>
      <c r="G23" s="33">
        <f t="shared" si="4"/>
        <v>-7.3305000114487484E-4</v>
      </c>
      <c r="H23" s="33"/>
      <c r="I23" s="33"/>
      <c r="J23" s="33"/>
      <c r="K23" s="33">
        <f t="shared" si="5"/>
        <v>-7.3305000114487484E-4</v>
      </c>
      <c r="L23" s="33"/>
      <c r="M23" s="33"/>
      <c r="N23" s="33"/>
      <c r="O23" s="33"/>
      <c r="P23" s="54">
        <f t="shared" si="6"/>
        <v>-2.1591899884579918E-3</v>
      </c>
      <c r="Q23" s="34">
        <f t="shared" si="7"/>
        <v>37342.032099999997</v>
      </c>
      <c r="R23" s="56">
        <f t="shared" si="8"/>
        <v>2.0338752634134574E-6</v>
      </c>
      <c r="S23" s="56">
        <v>0.8</v>
      </c>
      <c r="T23" s="56">
        <f t="shared" si="9"/>
        <v>1.627100210730766E-6</v>
      </c>
      <c r="V23" s="56">
        <v>17000</v>
      </c>
      <c r="W23" s="56">
        <f t="shared" si="1"/>
        <v>5.7288653164108076E-2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2"/>
        <v>-353.50575568691812</v>
      </c>
      <c r="F24" s="33">
        <f t="shared" si="3"/>
        <v>-353.5</v>
      </c>
      <c r="G24" s="33">
        <f t="shared" si="4"/>
        <v>-2.1909499992034398E-3</v>
      </c>
      <c r="H24" s="33"/>
      <c r="I24" s="33"/>
      <c r="J24" s="33"/>
      <c r="K24" s="33">
        <f t="shared" si="5"/>
        <v>-2.1909499992034398E-3</v>
      </c>
      <c r="L24" s="33"/>
      <c r="M24" s="33"/>
      <c r="N24" s="33"/>
      <c r="O24" s="33"/>
      <c r="P24" s="54">
        <f t="shared" si="6"/>
        <v>-2.1734172108842024E-3</v>
      </c>
      <c r="Q24" s="34">
        <f t="shared" si="7"/>
        <v>37346.979200000002</v>
      </c>
      <c r="R24" s="56">
        <f t="shared" si="8"/>
        <v>3.0739866624718637E-10</v>
      </c>
      <c r="S24" s="56">
        <v>0.8</v>
      </c>
      <c r="T24" s="56">
        <f t="shared" si="9"/>
        <v>2.4591893299774913E-10</v>
      </c>
      <c r="V24" s="56">
        <v>19000</v>
      </c>
      <c r="W24" s="56">
        <f t="shared" si="1"/>
        <v>7.4218054498973368E-2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2"/>
        <v>-345.98772705074026</v>
      </c>
      <c r="F25" s="33">
        <f t="shared" si="3"/>
        <v>-346</v>
      </c>
      <c r="G25" s="33">
        <f t="shared" si="4"/>
        <v>4.6718000012333505E-3</v>
      </c>
      <c r="H25" s="33"/>
      <c r="I25" s="33"/>
      <c r="J25" s="33"/>
      <c r="K25" s="33">
        <f t="shared" si="5"/>
        <v>4.6718000012333505E-3</v>
      </c>
      <c r="L25" s="33"/>
      <c r="M25" s="33"/>
      <c r="N25" s="33"/>
      <c r="O25" s="33"/>
      <c r="P25" s="54">
        <f t="shared" si="6"/>
        <v>-2.1815851989859941E-3</v>
      </c>
      <c r="Q25" s="34">
        <f t="shared" si="7"/>
        <v>37349.841</v>
      </c>
      <c r="R25" s="56">
        <f t="shared" si="8"/>
        <v>4.6968888702585543E-5</v>
      </c>
      <c r="S25" s="56">
        <v>0.05</v>
      </c>
      <c r="T25" s="56">
        <f t="shared" si="9"/>
        <v>2.3484444351292773E-6</v>
      </c>
      <c r="V25" s="98">
        <v>20000</v>
      </c>
      <c r="W25" s="98">
        <f t="shared" si="1"/>
        <v>8.3463727584096037E-2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2"/>
        <v>-345.49752363208131</v>
      </c>
      <c r="F26" s="33">
        <f t="shared" si="3"/>
        <v>-345.5</v>
      </c>
      <c r="G26" s="33">
        <f t="shared" si="4"/>
        <v>9.426500037079677E-4</v>
      </c>
      <c r="H26" s="33"/>
      <c r="I26" s="33"/>
      <c r="J26" s="33"/>
      <c r="K26" s="33">
        <f t="shared" si="5"/>
        <v>9.426500037079677E-4</v>
      </c>
      <c r="L26" s="33"/>
      <c r="M26" s="33"/>
      <c r="N26" s="33"/>
      <c r="O26" s="33"/>
      <c r="P26" s="54">
        <f t="shared" si="6"/>
        <v>-2.1821286902295569E-3</v>
      </c>
      <c r="Q26" s="34">
        <f t="shared" si="7"/>
        <v>37350.027600000001</v>
      </c>
      <c r="R26" s="56">
        <f t="shared" si="8"/>
        <v>9.764241886085902E-6</v>
      </c>
      <c r="S26" s="56">
        <v>0.5</v>
      </c>
      <c r="T26" s="56">
        <f t="shared" si="9"/>
        <v>4.882120943042951E-6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2"/>
        <v>-274.99781299922404</v>
      </c>
      <c r="F27" s="33">
        <f t="shared" si="3"/>
        <v>-275</v>
      </c>
      <c r="G27" s="33">
        <f t="shared" si="4"/>
        <v>8.32499994430691E-4</v>
      </c>
      <c r="H27" s="33"/>
      <c r="I27" s="33"/>
      <c r="J27" s="33"/>
      <c r="K27" s="33">
        <f t="shared" si="5"/>
        <v>8.32499994430691E-4</v>
      </c>
      <c r="L27" s="33"/>
      <c r="M27" s="33"/>
      <c r="N27" s="33"/>
      <c r="O27" s="33"/>
      <c r="P27" s="54">
        <f t="shared" si="6"/>
        <v>-2.2574579030929594E-3</v>
      </c>
      <c r="Q27" s="34">
        <f t="shared" si="7"/>
        <v>37376.863899999997</v>
      </c>
      <c r="R27" s="56">
        <f t="shared" si="8"/>
        <v>9.5478398084687775E-6</v>
      </c>
      <c r="S27" s="56">
        <v>0.1</v>
      </c>
      <c r="T27" s="56">
        <f t="shared" si="9"/>
        <v>9.547839808468778E-7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2"/>
        <v>-274.50288093020998</v>
      </c>
      <c r="F28" s="33">
        <f t="shared" si="3"/>
        <v>-274.5</v>
      </c>
      <c r="G28" s="33">
        <f t="shared" si="4"/>
        <v>-1.0966499976348132E-3</v>
      </c>
      <c r="H28" s="33"/>
      <c r="I28" s="33"/>
      <c r="J28" s="33"/>
      <c r="K28" s="33">
        <f t="shared" si="5"/>
        <v>-1.0966499976348132E-3</v>
      </c>
      <c r="L28" s="33"/>
      <c r="M28" s="33"/>
      <c r="N28" s="33"/>
      <c r="O28" s="33"/>
      <c r="P28" s="54">
        <f t="shared" si="6"/>
        <v>-2.2579829113226362E-3</v>
      </c>
      <c r="Q28" s="34">
        <f t="shared" si="7"/>
        <v>37377.052300000003</v>
      </c>
      <c r="R28" s="56">
        <f t="shared" si="8"/>
        <v>1.3486941364146487E-6</v>
      </c>
      <c r="S28" s="56">
        <v>0.1</v>
      </c>
      <c r="T28" s="56">
        <f t="shared" si="9"/>
        <v>1.3486941364146488E-7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2"/>
        <v>-238.00400516683956</v>
      </c>
      <c r="F29" s="33">
        <f t="shared" si="3"/>
        <v>-238</v>
      </c>
      <c r="G29" s="33">
        <f t="shared" si="4"/>
        <v>-1.5246000039041974E-3</v>
      </c>
      <c r="H29" s="33"/>
      <c r="I29" s="33"/>
      <c r="J29" s="33"/>
      <c r="K29" s="33">
        <f t="shared" si="5"/>
        <v>-1.5246000039041974E-3</v>
      </c>
      <c r="L29" s="33"/>
      <c r="M29" s="33"/>
      <c r="N29" s="33"/>
      <c r="O29" s="33"/>
      <c r="P29" s="54">
        <f t="shared" si="6"/>
        <v>-2.2959569443390428E-3</v>
      </c>
      <c r="Q29" s="34">
        <f t="shared" si="7"/>
        <v>37390.945899999999</v>
      </c>
      <c r="R29" s="56">
        <f t="shared" si="8"/>
        <v>5.9499152955700569E-7</v>
      </c>
      <c r="S29" s="56">
        <v>1</v>
      </c>
      <c r="T29" s="56">
        <f t="shared" si="9"/>
        <v>5.9499152955700569E-7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2"/>
        <v>-222.00566755013966</v>
      </c>
      <c r="F30" s="33">
        <f t="shared" si="3"/>
        <v>-222</v>
      </c>
      <c r="G30" s="33">
        <f t="shared" si="4"/>
        <v>-2.1573999983957037E-3</v>
      </c>
      <c r="H30" s="33"/>
      <c r="I30" s="33"/>
      <c r="J30" s="33"/>
      <c r="K30" s="33">
        <f t="shared" si="5"/>
        <v>-2.1573999983957037E-3</v>
      </c>
      <c r="L30" s="33"/>
      <c r="M30" s="33"/>
      <c r="N30" s="33"/>
      <c r="O30" s="33"/>
      <c r="P30" s="54">
        <f t="shared" si="6"/>
        <v>-2.3123844235213359E-3</v>
      </c>
      <c r="Q30" s="34">
        <f t="shared" si="7"/>
        <v>37397.035799999998</v>
      </c>
      <c r="R30" s="56">
        <f t="shared" si="8"/>
        <v>2.4020172031522667E-8</v>
      </c>
      <c r="S30" s="56">
        <v>0.8</v>
      </c>
      <c r="T30" s="56">
        <f t="shared" si="9"/>
        <v>1.9216137625218135E-8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2"/>
        <v>0</v>
      </c>
      <c r="F31" s="33">
        <f t="shared" si="3"/>
        <v>0</v>
      </c>
      <c r="G31" s="33">
        <f t="shared" si="4"/>
        <v>0</v>
      </c>
      <c r="K31" s="33">
        <f t="shared" si="5"/>
        <v>0</v>
      </c>
      <c r="P31" s="54">
        <f t="shared" si="6"/>
        <v>-2.5265612109553002E-3</v>
      </c>
      <c r="Q31" s="34">
        <f t="shared" si="7"/>
        <v>37481.544099999999</v>
      </c>
      <c r="R31" s="56">
        <f t="shared" si="8"/>
        <v>6.3835115527039127E-6</v>
      </c>
      <c r="S31" s="56">
        <v>1</v>
      </c>
      <c r="T31" s="56">
        <f t="shared" si="9"/>
        <v>6.3835115527039127E-6</v>
      </c>
      <c r="U31"/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2"/>
        <v>880.99878552496727</v>
      </c>
      <c r="F32" s="33">
        <f t="shared" si="3"/>
        <v>881</v>
      </c>
      <c r="G32" s="33">
        <f t="shared" si="4"/>
        <v>-4.6229999861679971E-4</v>
      </c>
      <c r="K32" s="33">
        <f t="shared" si="5"/>
        <v>-4.6229999861679971E-4</v>
      </c>
      <c r="P32" s="54">
        <f t="shared" si="6"/>
        <v>-3.1235468785370773E-3</v>
      </c>
      <c r="Q32" s="34">
        <f t="shared" si="7"/>
        <v>37816.903599999998</v>
      </c>
      <c r="R32" s="56">
        <f t="shared" si="8"/>
        <v>7.0822349558854124E-6</v>
      </c>
      <c r="S32" s="56">
        <v>0.9</v>
      </c>
      <c r="T32" s="56">
        <f t="shared" si="9"/>
        <v>6.3740114602968714E-6</v>
      </c>
      <c r="U32"/>
    </row>
    <row r="33" spans="1:22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2"/>
        <v>1881.994429124499</v>
      </c>
      <c r="F33" s="33">
        <f t="shared" si="3"/>
        <v>1882</v>
      </c>
      <c r="G33" s="33">
        <f t="shared" si="4"/>
        <v>-2.1205999946687371E-3</v>
      </c>
      <c r="K33" s="33">
        <f t="shared" si="5"/>
        <v>-2.1205999946687371E-3</v>
      </c>
      <c r="P33" s="54">
        <f t="shared" si="6"/>
        <v>-3.311427319440262E-3</v>
      </c>
      <c r="Q33" s="34">
        <f t="shared" si="7"/>
        <v>38197.940900000001</v>
      </c>
      <c r="R33" s="56">
        <f t="shared" si="8"/>
        <v>1.418069717422507E-6</v>
      </c>
      <c r="S33" s="56">
        <v>0.4</v>
      </c>
      <c r="T33" s="56">
        <f t="shared" si="9"/>
        <v>5.6722788696900282E-7</v>
      </c>
      <c r="U33"/>
      <c r="V33"/>
    </row>
    <row r="34" spans="1:22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2"/>
        <v>2735.9955109346197</v>
      </c>
      <c r="F34" s="33">
        <f t="shared" si="3"/>
        <v>2736</v>
      </c>
      <c r="G34" s="33">
        <f t="shared" si="4"/>
        <v>-1.708799994958099E-3</v>
      </c>
      <c r="H34" s="33"/>
      <c r="I34" s="33"/>
      <c r="J34" s="33"/>
      <c r="K34" s="33">
        <f t="shared" si="5"/>
        <v>-1.708799994958099E-3</v>
      </c>
      <c r="L34" s="33"/>
      <c r="M34" s="33"/>
      <c r="N34" s="33"/>
      <c r="O34" s="33">
        <f t="shared" ref="O34:O74" ca="1" si="10">+C$11+C$12*$F34</f>
        <v>-7.8166138731716295E-2</v>
      </c>
      <c r="P34" s="54">
        <f t="shared" si="6"/>
        <v>-3.05931923472066E-3</v>
      </c>
      <c r="Q34" s="34">
        <f t="shared" si="7"/>
        <v>38523.023500000003</v>
      </c>
      <c r="R34" s="56">
        <f t="shared" si="8"/>
        <v>1.8239022169688458E-6</v>
      </c>
      <c r="S34" s="56">
        <v>0.9</v>
      </c>
      <c r="T34" s="56">
        <f t="shared" si="9"/>
        <v>1.6415119952719612E-6</v>
      </c>
      <c r="V34" s="33"/>
    </row>
    <row r="35" spans="1:22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2"/>
        <v>3723.4942729476825</v>
      </c>
      <c r="F35" s="33">
        <f t="shared" si="3"/>
        <v>3723.5</v>
      </c>
      <c r="G35" s="33">
        <f t="shared" si="4"/>
        <v>-2.1800499962409958E-3</v>
      </c>
      <c r="J35" s="33">
        <f>G35</f>
        <v>-2.1800499962409958E-3</v>
      </c>
      <c r="O35" s="33">
        <f t="shared" ca="1" si="10"/>
        <v>-6.8355952077040733E-2</v>
      </c>
      <c r="P35" s="54">
        <f t="shared" si="6"/>
        <v>-2.2944062451183359E-3</v>
      </c>
      <c r="Q35" s="34">
        <f t="shared" si="7"/>
        <v>38898.9231</v>
      </c>
      <c r="R35" s="56">
        <f t="shared" si="8"/>
        <v>1.3077351657296149E-8</v>
      </c>
      <c r="S35" s="56">
        <v>0.4</v>
      </c>
      <c r="T35" s="56">
        <f t="shared" si="9"/>
        <v>5.2309406629184601E-9</v>
      </c>
      <c r="U35"/>
    </row>
    <row r="36" spans="1:22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2"/>
        <v>4459.0071988447316</v>
      </c>
      <c r="F36" s="33">
        <f t="shared" si="3"/>
        <v>4459</v>
      </c>
      <c r="G36" s="33">
        <f t="shared" si="4"/>
        <v>2.7402999985497445E-3</v>
      </c>
      <c r="K36" s="33">
        <f>G36</f>
        <v>2.7402999985497445E-3</v>
      </c>
      <c r="O36" s="33">
        <f t="shared" ca="1" si="10"/>
        <v>-6.1049225712976059E-2</v>
      </c>
      <c r="P36" s="54">
        <f t="shared" si="6"/>
        <v>-1.3947912437206776E-3</v>
      </c>
      <c r="Q36" s="34">
        <f t="shared" si="7"/>
        <v>39178.902199999997</v>
      </c>
      <c r="R36" s="56">
        <f t="shared" si="8"/>
        <v>1.7098979581901541E-5</v>
      </c>
      <c r="S36" s="56">
        <v>0.4</v>
      </c>
      <c r="T36" s="56">
        <f t="shared" si="9"/>
        <v>6.8395918327606167E-6</v>
      </c>
    </row>
    <row r="37" spans="1:22" x14ac:dyDescent="0.2">
      <c r="A37" s="24" t="s">
        <v>144</v>
      </c>
      <c r="B37" t="s">
        <v>35</v>
      </c>
      <c r="C37" s="9">
        <v>54587.1944</v>
      </c>
      <c r="D37" s="9" t="s">
        <v>72</v>
      </c>
      <c r="E37" s="44">
        <f t="shared" si="2"/>
        <v>5483.0022095932263</v>
      </c>
      <c r="F37" s="33">
        <f t="shared" si="3"/>
        <v>5483</v>
      </c>
      <c r="G37" s="33">
        <f t="shared" si="4"/>
        <v>8.4110000170767307E-4</v>
      </c>
      <c r="H37" s="33"/>
      <c r="K37" s="33">
        <f>G37</f>
        <v>8.4110000170767307E-4</v>
      </c>
      <c r="L37" s="33"/>
      <c r="M37" s="33"/>
      <c r="N37" s="33"/>
      <c r="O37" s="33">
        <f t="shared" ca="1" si="10"/>
        <v>-5.0876434690811226E-2</v>
      </c>
      <c r="P37" s="54">
        <f t="shared" si="6"/>
        <v>3.2673118559355206E-4</v>
      </c>
      <c r="Q37" s="34">
        <f t="shared" si="7"/>
        <v>39568.6944</v>
      </c>
      <c r="R37" s="56">
        <f t="shared" si="8"/>
        <v>2.6457527899064243E-7</v>
      </c>
      <c r="S37" s="56">
        <v>0.5</v>
      </c>
      <c r="T37" s="56">
        <f t="shared" si="9"/>
        <v>1.3228763949532122E-7</v>
      </c>
    </row>
    <row r="38" spans="1:22" s="33" customFormat="1" x14ac:dyDescent="0.2">
      <c r="A38" s="30" t="s">
        <v>42</v>
      </c>
      <c r="B38" s="29" t="s">
        <v>43</v>
      </c>
      <c r="C38" s="30">
        <v>54684.452799999999</v>
      </c>
      <c r="D38" s="30">
        <v>6.9999999999999999E-4</v>
      </c>
      <c r="E38" s="33">
        <f t="shared" si="2"/>
        <v>5738.5027464263876</v>
      </c>
      <c r="F38" s="33">
        <f t="shared" si="3"/>
        <v>5738.5</v>
      </c>
      <c r="G38" s="33">
        <f t="shared" si="4"/>
        <v>1.0454500006744638E-3</v>
      </c>
      <c r="K38" s="33">
        <f>G38</f>
        <v>1.0454500006744638E-3</v>
      </c>
      <c r="O38" s="33">
        <f t="shared" ca="1" si="10"/>
        <v>-4.833820411838631E-2</v>
      </c>
      <c r="P38" s="54">
        <f t="shared" si="6"/>
        <v>8.4137435588341365E-4</v>
      </c>
      <c r="Q38" s="34">
        <f t="shared" si="7"/>
        <v>39665.952799999999</v>
      </c>
      <c r="R38" s="56">
        <f t="shared" si="8"/>
        <v>4.1646868796882879E-8</v>
      </c>
      <c r="S38" s="56">
        <v>0.9</v>
      </c>
      <c r="T38" s="56">
        <f t="shared" si="9"/>
        <v>3.7482181917194591E-8</v>
      </c>
      <c r="U38"/>
    </row>
    <row r="39" spans="1:22" x14ac:dyDescent="0.2">
      <c r="A39" s="31" t="s">
        <v>51</v>
      </c>
      <c r="B39" s="35" t="s">
        <v>35</v>
      </c>
      <c r="C39" s="31">
        <v>54932.453500000003</v>
      </c>
      <c r="D39" s="31">
        <v>5.0000000000000001E-4</v>
      </c>
      <c r="E39" s="33">
        <f t="shared" si="2"/>
        <v>6390.0075211810808</v>
      </c>
      <c r="F39" s="33">
        <f t="shared" si="3"/>
        <v>6390</v>
      </c>
      <c r="G39" s="33">
        <f t="shared" si="4"/>
        <v>2.8630000015255064E-3</v>
      </c>
      <c r="H39" s="33"/>
      <c r="I39" s="33"/>
      <c r="J39" s="33">
        <f>G39</f>
        <v>2.8630000015255064E-3</v>
      </c>
      <c r="K39" s="33"/>
      <c r="L39" s="33"/>
      <c r="M39" s="33"/>
      <c r="N39" s="33"/>
      <c r="O39" s="33">
        <f t="shared" ca="1" si="10"/>
        <v>-4.1865964517858581E-2</v>
      </c>
      <c r="P39" s="54">
        <f t="shared" si="6"/>
        <v>2.3074923509224469E-3</v>
      </c>
      <c r="Q39" s="34">
        <f t="shared" si="7"/>
        <v>39913.953500000003</v>
      </c>
      <c r="R39" s="56">
        <f t="shared" si="8"/>
        <v>3.0858874987853082E-7</v>
      </c>
      <c r="S39" s="56">
        <v>0.9</v>
      </c>
      <c r="T39" s="56">
        <f t="shared" si="9"/>
        <v>2.7772987489067775E-7</v>
      </c>
    </row>
    <row r="40" spans="1:22" x14ac:dyDescent="0.2">
      <c r="A40" s="31" t="s">
        <v>52</v>
      </c>
      <c r="B40" s="35" t="s">
        <v>35</v>
      </c>
      <c r="C40" s="31">
        <v>54945.7762</v>
      </c>
      <c r="D40" s="31">
        <v>2.0000000000000001E-4</v>
      </c>
      <c r="E40" s="33">
        <f t="shared" si="2"/>
        <v>6425.0066266780495</v>
      </c>
      <c r="F40" s="33">
        <f t="shared" si="3"/>
        <v>6425</v>
      </c>
      <c r="G40" s="33">
        <f t="shared" si="4"/>
        <v>2.5224999990314245E-3</v>
      </c>
      <c r="H40" s="33"/>
      <c r="I40" s="33"/>
      <c r="J40" s="33"/>
      <c r="K40" s="33">
        <f>G40</f>
        <v>2.5224999990314245E-3</v>
      </c>
      <c r="L40" s="33"/>
      <c r="M40" s="33"/>
      <c r="N40" s="33"/>
      <c r="O40" s="33">
        <f t="shared" ca="1" si="10"/>
        <v>-4.1518261699718187E-2</v>
      </c>
      <c r="P40" s="54">
        <f t="shared" si="6"/>
        <v>2.392510343400921E-3</v>
      </c>
      <c r="Q40" s="34">
        <f t="shared" si="7"/>
        <v>39927.2762</v>
      </c>
      <c r="R40" s="56">
        <f t="shared" si="8"/>
        <v>1.6897310570936892E-8</v>
      </c>
      <c r="S40" s="56">
        <v>1</v>
      </c>
      <c r="T40" s="56">
        <f t="shared" si="9"/>
        <v>1.6897310570936892E-8</v>
      </c>
      <c r="V40" s="33"/>
    </row>
    <row r="41" spans="1:22" s="33" customFormat="1" x14ac:dyDescent="0.2">
      <c r="A41" s="30" t="s">
        <v>44</v>
      </c>
      <c r="B41" s="29" t="s">
        <v>43</v>
      </c>
      <c r="C41" s="30">
        <v>54955.863799999999</v>
      </c>
      <c r="D41" s="30">
        <v>4.0000000000000002E-4</v>
      </c>
      <c r="E41" s="33">
        <f t="shared" si="2"/>
        <v>6451.5070339987333</v>
      </c>
      <c r="F41" s="33">
        <f t="shared" si="3"/>
        <v>6451.5</v>
      </c>
      <c r="G41" s="33">
        <f t="shared" si="4"/>
        <v>2.6775500009534881E-3</v>
      </c>
      <c r="K41" s="33">
        <f>G41</f>
        <v>2.6775500009534881E-3</v>
      </c>
      <c r="O41" s="33">
        <f t="shared" ca="1" si="10"/>
        <v>-4.1255000994554744E-2</v>
      </c>
      <c r="P41" s="54">
        <f t="shared" si="6"/>
        <v>2.4573053724005339E-3</v>
      </c>
      <c r="Q41" s="34">
        <f t="shared" si="7"/>
        <v>39937.363799999999</v>
      </c>
      <c r="R41" s="56">
        <f t="shared" si="8"/>
        <v>4.8507696406428738E-8</v>
      </c>
      <c r="S41" s="56">
        <v>1</v>
      </c>
      <c r="T41" s="56">
        <f t="shared" si="9"/>
        <v>4.8507696406428738E-8</v>
      </c>
      <c r="V41"/>
    </row>
    <row r="42" spans="1:22" x14ac:dyDescent="0.2">
      <c r="A42" s="31" t="s">
        <v>53</v>
      </c>
      <c r="B42" s="35" t="s">
        <v>43</v>
      </c>
      <c r="C42" s="31">
        <v>54968.426099999997</v>
      </c>
      <c r="D42" s="31">
        <v>2.9999999999999997E-4</v>
      </c>
      <c r="E42" s="33">
        <f t="shared" si="2"/>
        <v>6484.5085474295392</v>
      </c>
      <c r="F42" s="33">
        <f t="shared" si="3"/>
        <v>6484.5</v>
      </c>
      <c r="G42" s="33">
        <f t="shared" si="4"/>
        <v>3.2536500002606772E-3</v>
      </c>
      <c r="H42" s="33"/>
      <c r="I42" s="33"/>
      <c r="J42" s="33">
        <f>G42</f>
        <v>3.2536500002606772E-3</v>
      </c>
      <c r="K42" s="33"/>
      <c r="L42" s="33"/>
      <c r="M42" s="33"/>
      <c r="N42" s="33"/>
      <c r="O42" s="33">
        <f t="shared" ca="1" si="10"/>
        <v>-4.0927166908879514E-2</v>
      </c>
      <c r="P42" s="54">
        <f t="shared" si="6"/>
        <v>2.5385046681681827E-3</v>
      </c>
      <c r="Q42" s="34">
        <f t="shared" si="7"/>
        <v>39949.926099999997</v>
      </c>
      <c r="R42" s="56">
        <f t="shared" si="8"/>
        <v>5.1143284601368426E-7</v>
      </c>
      <c r="S42" s="56">
        <v>1</v>
      </c>
      <c r="T42" s="56">
        <f t="shared" si="9"/>
        <v>5.1143284601368426E-7</v>
      </c>
      <c r="V42" s="33"/>
    </row>
    <row r="43" spans="1:22" s="33" customFormat="1" x14ac:dyDescent="0.2">
      <c r="A43" s="31" t="s">
        <v>48</v>
      </c>
      <c r="B43" s="35" t="s">
        <v>43</v>
      </c>
      <c r="C43" s="31">
        <v>55038.467499999999</v>
      </c>
      <c r="D43" s="31">
        <v>6.9999999999999999E-4</v>
      </c>
      <c r="E43" s="33">
        <f t="shared" si="2"/>
        <v>6668.5092640827734</v>
      </c>
      <c r="F43" s="33">
        <f t="shared" si="3"/>
        <v>6668.5</v>
      </c>
      <c r="G43" s="33">
        <f t="shared" si="4"/>
        <v>3.5264499965705909E-3</v>
      </c>
      <c r="K43" s="33">
        <f>G43</f>
        <v>3.5264499965705909E-3</v>
      </c>
      <c r="O43" s="33">
        <f t="shared" ca="1" si="10"/>
        <v>-3.909924352208427E-2</v>
      </c>
      <c r="P43" s="54">
        <f t="shared" si="6"/>
        <v>3.0016464789220116E-3</v>
      </c>
      <c r="Q43" s="34">
        <f t="shared" si="7"/>
        <v>40019.967499999999</v>
      </c>
      <c r="R43" s="56">
        <f t="shared" si="8"/>
        <v>2.7541873213632267E-7</v>
      </c>
      <c r="S43" s="56">
        <v>0.8</v>
      </c>
      <c r="T43" s="56">
        <f t="shared" si="9"/>
        <v>2.2033498570905815E-7</v>
      </c>
      <c r="V43"/>
    </row>
    <row r="44" spans="1:22" x14ac:dyDescent="0.2">
      <c r="A44" s="31" t="s">
        <v>53</v>
      </c>
      <c r="B44" s="35" t="s">
        <v>43</v>
      </c>
      <c r="C44" s="31">
        <v>55067.397700000001</v>
      </c>
      <c r="D44" s="31">
        <v>2.0000000000000001E-4</v>
      </c>
      <c r="E44" s="33">
        <f t="shared" si="2"/>
        <v>6744.5097085759126</v>
      </c>
      <c r="F44" s="33">
        <f t="shared" si="3"/>
        <v>6744.5</v>
      </c>
      <c r="G44" s="33">
        <f t="shared" si="4"/>
        <v>3.695650004374329E-3</v>
      </c>
      <c r="H44" s="33"/>
      <c r="I44" s="33"/>
      <c r="J44" s="33">
        <f>G44</f>
        <v>3.695650004374329E-3</v>
      </c>
      <c r="K44" s="33"/>
      <c r="L44" s="33"/>
      <c r="M44" s="33"/>
      <c r="N44" s="33"/>
      <c r="O44" s="33">
        <f t="shared" ca="1" si="10"/>
        <v>-3.8344231688407976E-2</v>
      </c>
      <c r="P44" s="54">
        <f t="shared" si="6"/>
        <v>3.1980881883549965E-3</v>
      </c>
      <c r="Q44" s="34">
        <f t="shared" si="7"/>
        <v>40048.897700000001</v>
      </c>
      <c r="R44" s="56">
        <f t="shared" si="8"/>
        <v>2.4756776076045608E-7</v>
      </c>
      <c r="S44" s="56">
        <v>1</v>
      </c>
      <c r="T44" s="56">
        <f t="shared" si="9"/>
        <v>2.4756776076045608E-7</v>
      </c>
    </row>
    <row r="45" spans="1:22" s="33" customFormat="1" x14ac:dyDescent="0.2">
      <c r="A45" s="31" t="s">
        <v>49</v>
      </c>
      <c r="B45" s="35" t="s">
        <v>35</v>
      </c>
      <c r="C45" s="31">
        <v>55296.744299999998</v>
      </c>
      <c r="D45" s="31">
        <v>2.0000000000000001E-4</v>
      </c>
      <c r="E45" s="33">
        <f t="shared" si="2"/>
        <v>7347.0096409299349</v>
      </c>
      <c r="F45" s="33">
        <f t="shared" si="3"/>
        <v>7347</v>
      </c>
      <c r="G45" s="33">
        <f t="shared" si="4"/>
        <v>3.6698999974760227E-3</v>
      </c>
      <c r="K45" s="33">
        <f t="shared" ref="K45:K53" si="11">G45</f>
        <v>3.6698999974760227E-3</v>
      </c>
      <c r="O45" s="33">
        <f t="shared" ca="1" si="10"/>
        <v>-3.2358776033276804E-2</v>
      </c>
      <c r="P45" s="54">
        <f t="shared" si="6"/>
        <v>4.8618252193800265E-3</v>
      </c>
      <c r="Q45" s="34">
        <f t="shared" si="7"/>
        <v>40278.244299999998</v>
      </c>
      <c r="R45" s="56">
        <f t="shared" si="8"/>
        <v>1.4206857346109087E-6</v>
      </c>
      <c r="S45" s="56">
        <v>1</v>
      </c>
      <c r="T45" s="56">
        <f t="shared" si="9"/>
        <v>1.4206857346109087E-6</v>
      </c>
      <c r="U45"/>
      <c r="V45"/>
    </row>
    <row r="46" spans="1:22" x14ac:dyDescent="0.2">
      <c r="A46" s="24" t="s">
        <v>194</v>
      </c>
      <c r="B46" t="s">
        <v>35</v>
      </c>
      <c r="C46" s="9">
        <v>55657.993999999999</v>
      </c>
      <c r="D46" s="9" t="s">
        <v>72</v>
      </c>
      <c r="E46" s="44">
        <f t="shared" si="2"/>
        <v>8296.0227059281242</v>
      </c>
      <c r="F46" s="33">
        <f t="shared" si="3"/>
        <v>8296</v>
      </c>
      <c r="G46" s="33">
        <f t="shared" si="4"/>
        <v>8.6432000025524758E-3</v>
      </c>
      <c r="H46" s="33"/>
      <c r="K46" s="33">
        <f t="shared" si="11"/>
        <v>8.6432000025524758E-3</v>
      </c>
      <c r="L46" s="33"/>
      <c r="M46" s="33"/>
      <c r="N46" s="33"/>
      <c r="O46" s="33">
        <f t="shared" ca="1" si="10"/>
        <v>-2.2931062478555683E-2</v>
      </c>
      <c r="P46" s="54">
        <f t="shared" si="6"/>
        <v>7.8656779940859609E-3</v>
      </c>
      <c r="Q46" s="34">
        <f t="shared" si="7"/>
        <v>40639.493999999999</v>
      </c>
      <c r="R46" s="56">
        <f t="shared" si="8"/>
        <v>6.0454047364980329E-7</v>
      </c>
      <c r="S46" s="56">
        <v>0.5</v>
      </c>
      <c r="T46" s="56">
        <f t="shared" si="9"/>
        <v>3.0227023682490165E-7</v>
      </c>
    </row>
    <row r="47" spans="1:22" x14ac:dyDescent="0.2">
      <c r="A47" s="24" t="s">
        <v>194</v>
      </c>
      <c r="B47" t="s">
        <v>43</v>
      </c>
      <c r="C47" s="9">
        <v>55658.183100000002</v>
      </c>
      <c r="D47" s="9" t="s">
        <v>72</v>
      </c>
      <c r="E47" s="44">
        <f t="shared" si="2"/>
        <v>8296.5194769167065</v>
      </c>
      <c r="F47" s="33">
        <f t="shared" si="3"/>
        <v>8296.5</v>
      </c>
      <c r="G47" s="33">
        <f t="shared" si="4"/>
        <v>7.4140500000794418E-3</v>
      </c>
      <c r="H47" s="33"/>
      <c r="K47" s="33">
        <f t="shared" si="11"/>
        <v>7.4140500000794418E-3</v>
      </c>
      <c r="L47" s="33"/>
      <c r="M47" s="33"/>
      <c r="N47" s="33"/>
      <c r="O47" s="33">
        <f t="shared" ca="1" si="10"/>
        <v>-2.2926095295439403E-2</v>
      </c>
      <c r="P47" s="54">
        <f t="shared" si="6"/>
        <v>7.8673842240536244E-3</v>
      </c>
      <c r="Q47" s="34">
        <f t="shared" si="7"/>
        <v>40639.683100000002</v>
      </c>
      <c r="R47" s="56">
        <f t="shared" si="8"/>
        <v>2.0551191862627439E-7</v>
      </c>
      <c r="S47" s="56">
        <v>0.5</v>
      </c>
      <c r="T47" s="56">
        <f t="shared" si="9"/>
        <v>1.027559593131372E-7</v>
      </c>
    </row>
    <row r="48" spans="1:22" x14ac:dyDescent="0.2">
      <c r="A48" s="31" t="s">
        <v>54</v>
      </c>
      <c r="B48" s="35" t="s">
        <v>43</v>
      </c>
      <c r="C48" s="31">
        <v>55660.845699999998</v>
      </c>
      <c r="D48" s="31">
        <v>6.9999999999999999E-4</v>
      </c>
      <c r="E48" s="33">
        <f t="shared" si="2"/>
        <v>8303.5142015818346</v>
      </c>
      <c r="F48" s="33">
        <f t="shared" si="3"/>
        <v>8303.5</v>
      </c>
      <c r="G48" s="33">
        <f t="shared" si="4"/>
        <v>5.4059499962022528E-3</v>
      </c>
      <c r="H48" s="33"/>
      <c r="I48" s="33"/>
      <c r="J48" s="33"/>
      <c r="K48" s="33">
        <f t="shared" si="11"/>
        <v>5.4059499962022528E-3</v>
      </c>
      <c r="L48" s="33"/>
      <c r="M48" s="33"/>
      <c r="N48" s="33"/>
      <c r="O48" s="33">
        <f t="shared" ca="1" si="10"/>
        <v>-2.2856554731811321E-2</v>
      </c>
      <c r="P48" s="54">
        <f t="shared" si="6"/>
        <v>7.8912851106182191E-3</v>
      </c>
      <c r="Q48" s="34">
        <f t="shared" si="7"/>
        <v>40642.345699999998</v>
      </c>
      <c r="R48" s="56">
        <f t="shared" si="8"/>
        <v>6.1768906309490244E-6</v>
      </c>
      <c r="S48" s="56">
        <v>0.8</v>
      </c>
      <c r="T48" s="56">
        <f t="shared" si="9"/>
        <v>4.9415125047592199E-6</v>
      </c>
      <c r="U48" s="33"/>
    </row>
    <row r="49" spans="1:22" x14ac:dyDescent="0.2">
      <c r="A49" s="24" t="s">
        <v>208</v>
      </c>
      <c r="B49" t="s">
        <v>35</v>
      </c>
      <c r="C49" s="9">
        <v>56018.0982</v>
      </c>
      <c r="D49" s="9" t="s">
        <v>72</v>
      </c>
      <c r="E49" s="44">
        <f t="shared" si="2"/>
        <v>9242.0265103900292</v>
      </c>
      <c r="F49" s="33">
        <f t="shared" si="3"/>
        <v>9242</v>
      </c>
      <c r="G49" s="33">
        <f t="shared" si="4"/>
        <v>1.0091399999510031E-2</v>
      </c>
      <c r="H49" s="33"/>
      <c r="K49" s="33">
        <f t="shared" si="11"/>
        <v>1.0091399999510031E-2</v>
      </c>
      <c r="L49" s="33"/>
      <c r="M49" s="33"/>
      <c r="N49" s="33"/>
      <c r="O49" s="33">
        <f t="shared" ca="1" si="10"/>
        <v>-1.3533152022532316E-2</v>
      </c>
      <c r="P49" s="54">
        <f t="shared" si="6"/>
        <v>1.1326710196969965E-2</v>
      </c>
      <c r="Q49" s="34">
        <f t="shared" si="7"/>
        <v>40999.5982</v>
      </c>
      <c r="R49" s="56">
        <f t="shared" si="8"/>
        <v>1.5259912839485004E-6</v>
      </c>
      <c r="S49" s="56">
        <v>0.5</v>
      </c>
      <c r="T49" s="56">
        <f t="shared" si="9"/>
        <v>7.6299564197425021E-7</v>
      </c>
    </row>
    <row r="50" spans="1:22" x14ac:dyDescent="0.2">
      <c r="A50" s="24" t="s">
        <v>208</v>
      </c>
      <c r="B50" t="s">
        <v>43</v>
      </c>
      <c r="C50" s="9">
        <v>56018.288200000003</v>
      </c>
      <c r="D50" s="9" t="s">
        <v>72</v>
      </c>
      <c r="E50" s="44">
        <f t="shared" si="2"/>
        <v>9242.5256457037813</v>
      </c>
      <c r="F50" s="33">
        <f t="shared" si="3"/>
        <v>9242.5</v>
      </c>
      <c r="G50" s="33">
        <f t="shared" si="4"/>
        <v>9.7622500034049153E-3</v>
      </c>
      <c r="H50" s="33"/>
      <c r="K50" s="33">
        <f t="shared" si="11"/>
        <v>9.7622500034049153E-3</v>
      </c>
      <c r="L50" s="33"/>
      <c r="M50" s="33"/>
      <c r="N50" s="33"/>
      <c r="O50" s="33">
        <f t="shared" ca="1" si="10"/>
        <v>-1.3528184839416021E-2</v>
      </c>
      <c r="P50" s="54">
        <f t="shared" si="6"/>
        <v>1.1328662693573343E-2</v>
      </c>
      <c r="Q50" s="34">
        <f t="shared" si="7"/>
        <v>40999.788200000003</v>
      </c>
      <c r="R50" s="56">
        <f t="shared" si="8"/>
        <v>2.4536487159206896E-6</v>
      </c>
      <c r="S50" s="56">
        <v>0.5</v>
      </c>
      <c r="T50" s="56">
        <f t="shared" si="9"/>
        <v>1.2268243579603448E-6</v>
      </c>
    </row>
    <row r="51" spans="1:22" x14ac:dyDescent="0.2">
      <c r="A51" s="30" t="s">
        <v>57</v>
      </c>
      <c r="B51" s="29" t="s">
        <v>43</v>
      </c>
      <c r="C51" s="30">
        <v>56038.845999999998</v>
      </c>
      <c r="D51" s="30">
        <v>2.9999999999999997E-4</v>
      </c>
      <c r="E51" s="33">
        <f t="shared" si="2"/>
        <v>9296.5315612453433</v>
      </c>
      <c r="F51" s="33">
        <f t="shared" si="3"/>
        <v>9296.5</v>
      </c>
      <c r="G51" s="33">
        <f t="shared" si="4"/>
        <v>1.2014050000288989E-2</v>
      </c>
      <c r="H51" s="33"/>
      <c r="I51" s="33"/>
      <c r="J51" s="33"/>
      <c r="K51" s="33">
        <f t="shared" si="11"/>
        <v>1.2014050000288989E-2</v>
      </c>
      <c r="L51" s="33"/>
      <c r="M51" s="33"/>
      <c r="N51" s="33"/>
      <c r="O51" s="33">
        <f t="shared" ca="1" si="10"/>
        <v>-1.2991729062856561E-2</v>
      </c>
      <c r="P51" s="54">
        <f t="shared" si="6"/>
        <v>1.154029846067957E-2</v>
      </c>
      <c r="Q51" s="34">
        <f t="shared" si="7"/>
        <v>41020.345999999998</v>
      </c>
      <c r="R51" s="56">
        <f t="shared" si="8"/>
        <v>2.2444052128229522E-7</v>
      </c>
      <c r="S51" s="56">
        <v>1</v>
      </c>
      <c r="T51" s="56">
        <f t="shared" si="9"/>
        <v>2.2444052128229522E-7</v>
      </c>
    </row>
    <row r="52" spans="1:22" x14ac:dyDescent="0.2">
      <c r="A52" s="36" t="s">
        <v>61</v>
      </c>
      <c r="B52" s="33"/>
      <c r="C52" s="30">
        <v>56390.765599999999</v>
      </c>
      <c r="D52" s="30">
        <v>2.9999999999999997E-4</v>
      </c>
      <c r="E52" s="33">
        <f t="shared" si="2"/>
        <v>10221.034192607911</v>
      </c>
      <c r="F52" s="33">
        <f t="shared" si="3"/>
        <v>10221</v>
      </c>
      <c r="G52" s="33">
        <f t="shared" si="4"/>
        <v>1.3015700002142694E-2</v>
      </c>
      <c r="H52" s="33"/>
      <c r="J52" s="33"/>
      <c r="K52" s="33">
        <f t="shared" si="11"/>
        <v>1.3015700002142694E-2</v>
      </c>
      <c r="L52" s="33"/>
      <c r="M52" s="33"/>
      <c r="N52" s="33"/>
      <c r="O52" s="33">
        <f t="shared" ca="1" si="10"/>
        <v>-3.8074074808337188E-3</v>
      </c>
      <c r="P52" s="54">
        <f t="shared" si="6"/>
        <v>1.5399076446039313E-2</v>
      </c>
      <c r="Q52" s="34">
        <f t="shared" si="7"/>
        <v>41372.265599999999</v>
      </c>
      <c r="R52" s="56">
        <f t="shared" si="8"/>
        <v>5.6804832733212922E-6</v>
      </c>
      <c r="S52" s="56">
        <v>1</v>
      </c>
      <c r="T52" s="56">
        <f t="shared" si="9"/>
        <v>5.6804832733212922E-6</v>
      </c>
      <c r="U52" s="33"/>
    </row>
    <row r="53" spans="1:22" x14ac:dyDescent="0.2">
      <c r="A53" s="39" t="s">
        <v>61</v>
      </c>
      <c r="B53" s="38" t="s">
        <v>35</v>
      </c>
      <c r="C53" s="39">
        <v>56390.765599999999</v>
      </c>
      <c r="D53" s="39">
        <v>2.9999999999999997E-4</v>
      </c>
      <c r="E53" s="44">
        <f t="shared" ref="E53:E74" si="12">+(C53-C$7)/C$8</f>
        <v>10221.034192607911</v>
      </c>
      <c r="F53" s="33">
        <f t="shared" ref="F53:F74" si="13">ROUND(2*E53,0)/2</f>
        <v>10221</v>
      </c>
      <c r="G53" s="33">
        <f t="shared" si="4"/>
        <v>1.3015700002142694E-2</v>
      </c>
      <c r="H53" s="33"/>
      <c r="I53" s="33"/>
      <c r="J53" s="33"/>
      <c r="K53" s="33">
        <f t="shared" si="11"/>
        <v>1.3015700002142694E-2</v>
      </c>
      <c r="L53" s="33"/>
      <c r="M53" s="33"/>
      <c r="N53" s="33"/>
      <c r="O53" s="33">
        <f t="shared" ca="1" si="10"/>
        <v>-3.8074074808337188E-3</v>
      </c>
      <c r="P53" s="54">
        <f t="shared" ref="P53:P74" si="14">+D$11+D$12*F53+D$13*F53^2</f>
        <v>1.5399076446039313E-2</v>
      </c>
      <c r="Q53" s="34">
        <f t="shared" ref="Q53:Q74" si="15">+C53-15018.5</f>
        <v>41372.265599999999</v>
      </c>
      <c r="R53" s="56">
        <f t="shared" si="8"/>
        <v>5.6804832733212922E-6</v>
      </c>
      <c r="S53" s="56">
        <v>1</v>
      </c>
      <c r="T53" s="56">
        <f t="shared" ref="T53:T74" si="16">+S53*R53</f>
        <v>5.6804832733212922E-6</v>
      </c>
      <c r="U53" s="33"/>
    </row>
    <row r="54" spans="1:22" x14ac:dyDescent="0.2">
      <c r="A54" s="37" t="s">
        <v>59</v>
      </c>
      <c r="B54" s="38" t="s">
        <v>35</v>
      </c>
      <c r="C54" s="39">
        <v>56409.41128</v>
      </c>
      <c r="D54" s="39">
        <v>2.9999999999999997E-4</v>
      </c>
      <c r="E54" s="33">
        <f t="shared" si="12"/>
        <v>10270.016915433083</v>
      </c>
      <c r="F54" s="33">
        <f t="shared" si="13"/>
        <v>10270</v>
      </c>
      <c r="H54" s="33"/>
      <c r="K54" s="33"/>
      <c r="L54" s="33"/>
      <c r="M54" s="33"/>
      <c r="N54" s="33"/>
      <c r="O54" s="33">
        <f t="shared" ca="1" si="10"/>
        <v>-3.3206235354371616E-3</v>
      </c>
      <c r="P54" s="54">
        <f t="shared" si="14"/>
        <v>1.5616015792052925E-2</v>
      </c>
      <c r="Q54" s="34">
        <f t="shared" si="15"/>
        <v>41390.91128</v>
      </c>
      <c r="R54" s="56">
        <f>+(P54-U54)^2</f>
        <v>8.4217618768291918E-5</v>
      </c>
      <c r="S54" s="56">
        <v>0.1</v>
      </c>
      <c r="T54" s="56">
        <f t="shared" si="16"/>
        <v>8.4217618768291925E-6</v>
      </c>
      <c r="U54" s="33">
        <f>+C54-(C$7+F54*C$8)</f>
        <v>6.4390000043204054E-3</v>
      </c>
    </row>
    <row r="55" spans="1:22" x14ac:dyDescent="0.2">
      <c r="A55" s="37" t="s">
        <v>59</v>
      </c>
      <c r="B55" s="38" t="s">
        <v>35</v>
      </c>
      <c r="C55" s="39">
        <v>56409.412060000002</v>
      </c>
      <c r="D55" s="39">
        <v>2.0000000000000001E-4</v>
      </c>
      <c r="E55" s="33">
        <f t="shared" si="12"/>
        <v>10270.018964514902</v>
      </c>
      <c r="F55" s="33">
        <f t="shared" si="13"/>
        <v>10270</v>
      </c>
      <c r="H55" s="33"/>
      <c r="K55" s="33"/>
      <c r="L55" s="33"/>
      <c r="M55" s="33"/>
      <c r="N55" s="33"/>
      <c r="O55" s="33">
        <f t="shared" ca="1" si="10"/>
        <v>-3.3206235354371616E-3</v>
      </c>
      <c r="P55" s="54">
        <f t="shared" si="14"/>
        <v>1.5616015792052925E-2</v>
      </c>
      <c r="Q55" s="34">
        <f t="shared" si="15"/>
        <v>41390.912060000002</v>
      </c>
      <c r="R55" s="56">
        <f>+(P55-U55)^2</f>
        <v>7.0509874103768491E-5</v>
      </c>
      <c r="S55" s="56">
        <v>0.1</v>
      </c>
      <c r="T55" s="56">
        <f t="shared" si="16"/>
        <v>7.0509874103768498E-6</v>
      </c>
      <c r="U55" s="33">
        <f>+C55-(C$7+F55*C$8)</f>
        <v>7.2190000064438209E-3</v>
      </c>
      <c r="V55" s="33"/>
    </row>
    <row r="56" spans="1:22" x14ac:dyDescent="0.2">
      <c r="A56" s="37" t="s">
        <v>59</v>
      </c>
      <c r="B56" s="38" t="s">
        <v>35</v>
      </c>
      <c r="C56" s="39">
        <v>56409.412420000001</v>
      </c>
      <c r="D56" s="39">
        <v>2.0000000000000001E-4</v>
      </c>
      <c r="E56" s="44">
        <f t="shared" si="12"/>
        <v>10270.019910244966</v>
      </c>
      <c r="F56" s="33">
        <f t="shared" si="13"/>
        <v>10270</v>
      </c>
      <c r="H56" s="33"/>
      <c r="K56" s="33"/>
      <c r="L56" s="33"/>
      <c r="M56" s="33"/>
      <c r="N56" s="33"/>
      <c r="O56" s="33">
        <f t="shared" ca="1" si="10"/>
        <v>-3.3206235354371616E-3</v>
      </c>
      <c r="P56" s="54">
        <f t="shared" si="14"/>
        <v>1.5616015792052925E-2</v>
      </c>
      <c r="Q56" s="34">
        <f t="shared" si="15"/>
        <v>41390.912420000001</v>
      </c>
      <c r="R56" s="56">
        <f>+(P56-U56)^2</f>
        <v>6.4593622767359068E-5</v>
      </c>
      <c r="S56" s="56">
        <v>0.1</v>
      </c>
      <c r="T56" s="56">
        <f t="shared" si="16"/>
        <v>6.4593622767359068E-6</v>
      </c>
      <c r="U56" s="33">
        <f>+C56-(C$7+F56*C$8)</f>
        <v>7.5790000046254136E-3</v>
      </c>
    </row>
    <row r="57" spans="1:22" x14ac:dyDescent="0.2">
      <c r="A57" s="75" t="s">
        <v>65</v>
      </c>
      <c r="B57" s="76"/>
      <c r="C57" s="75">
        <v>56409.417930000003</v>
      </c>
      <c r="D57" s="75">
        <v>2.7E-4</v>
      </c>
      <c r="E57" s="44">
        <f t="shared" si="12"/>
        <v>10270.034385169072</v>
      </c>
      <c r="F57" s="33">
        <f t="shared" si="13"/>
        <v>10270</v>
      </c>
      <c r="G57" s="33">
        <f t="shared" ref="G57:G74" si="17">+C57-(C$7+F57*C$8)</f>
        <v>1.3089000007312279E-2</v>
      </c>
      <c r="H57" s="33"/>
      <c r="J57" s="33"/>
      <c r="K57" s="33">
        <f>G57</f>
        <v>1.3089000007312279E-2</v>
      </c>
      <c r="L57" s="33"/>
      <c r="M57" s="33"/>
      <c r="N57" s="33"/>
      <c r="O57" s="33">
        <f t="shared" ca="1" si="10"/>
        <v>-3.3206235354371616E-3</v>
      </c>
      <c r="P57" s="54">
        <f t="shared" si="14"/>
        <v>1.5616015792052925E-2</v>
      </c>
      <c r="Q57" s="34">
        <f t="shared" si="15"/>
        <v>41390.917930000003</v>
      </c>
      <c r="R57" s="56">
        <f t="shared" ref="R57:R74" si="18">+(P57-G57)^2</f>
        <v>6.3858087763283841E-6</v>
      </c>
      <c r="S57" s="56">
        <v>0.1</v>
      </c>
      <c r="T57" s="56">
        <f t="shared" si="16"/>
        <v>6.3858087763283843E-7</v>
      </c>
    </row>
    <row r="58" spans="1:22" x14ac:dyDescent="0.2">
      <c r="A58" s="75" t="s">
        <v>65</v>
      </c>
      <c r="B58" s="76"/>
      <c r="C58" s="75">
        <v>56409.418709999998</v>
      </c>
      <c r="D58" s="75">
        <v>1.9000000000000001E-4</v>
      </c>
      <c r="E58" s="44">
        <f t="shared" si="12"/>
        <v>10270.036434250873</v>
      </c>
      <c r="F58" s="33">
        <f t="shared" si="13"/>
        <v>10270</v>
      </c>
      <c r="G58" s="33">
        <f t="shared" si="17"/>
        <v>1.3869000002159737E-2</v>
      </c>
      <c r="H58" s="33"/>
      <c r="J58" s="33"/>
      <c r="K58" s="33">
        <f>G58</f>
        <v>1.3869000002159737E-2</v>
      </c>
      <c r="L58" s="33"/>
      <c r="M58" s="33"/>
      <c r="N58" s="33"/>
      <c r="O58" s="33">
        <f t="shared" ca="1" si="10"/>
        <v>-3.3206235354371616E-3</v>
      </c>
      <c r="P58" s="54">
        <f t="shared" si="14"/>
        <v>1.5616015792052925E-2</v>
      </c>
      <c r="Q58" s="34">
        <f t="shared" si="15"/>
        <v>41390.918709999998</v>
      </c>
      <c r="R58" s="56">
        <f t="shared" si="18"/>
        <v>3.052064170136121E-6</v>
      </c>
      <c r="S58" s="56">
        <v>0.1</v>
      </c>
      <c r="T58" s="56">
        <f t="shared" si="16"/>
        <v>3.0520641701361213E-7</v>
      </c>
      <c r="U58" s="57"/>
    </row>
    <row r="59" spans="1:22" x14ac:dyDescent="0.2">
      <c r="A59" s="75" t="s">
        <v>65</v>
      </c>
      <c r="B59" s="76"/>
      <c r="C59" s="75">
        <v>56409.419070000004</v>
      </c>
      <c r="D59" s="75">
        <v>2.1000000000000001E-4</v>
      </c>
      <c r="E59" s="44">
        <f t="shared" si="12"/>
        <v>10270.037379980955</v>
      </c>
      <c r="F59" s="33">
        <f t="shared" si="13"/>
        <v>10270</v>
      </c>
      <c r="G59" s="33">
        <f t="shared" si="17"/>
        <v>1.4229000007617287E-2</v>
      </c>
      <c r="H59" s="33"/>
      <c r="J59" s="33"/>
      <c r="K59" s="33">
        <f>G59</f>
        <v>1.4229000007617287E-2</v>
      </c>
      <c r="L59" s="33"/>
      <c r="M59" s="33"/>
      <c r="N59" s="33"/>
      <c r="O59" s="33">
        <f t="shared" ca="1" si="10"/>
        <v>-3.3206235354371616E-3</v>
      </c>
      <c r="P59" s="54">
        <f t="shared" si="14"/>
        <v>1.5616015792052925E-2</v>
      </c>
      <c r="Q59" s="34">
        <f t="shared" si="15"/>
        <v>41390.919070000004</v>
      </c>
      <c r="R59" s="56">
        <f t="shared" si="18"/>
        <v>1.9238127862736083E-6</v>
      </c>
      <c r="S59" s="56">
        <v>0.1</v>
      </c>
      <c r="T59" s="56">
        <f t="shared" si="16"/>
        <v>1.9238127862736084E-7</v>
      </c>
    </row>
    <row r="60" spans="1:22" x14ac:dyDescent="0.2">
      <c r="A60" s="77" t="s">
        <v>62</v>
      </c>
      <c r="B60" s="78" t="s">
        <v>63</v>
      </c>
      <c r="C60" s="79">
        <v>56446.342799999999</v>
      </c>
      <c r="D60" s="79">
        <v>4.0000000000000002E-4</v>
      </c>
      <c r="E60" s="44">
        <f t="shared" si="12"/>
        <v>10367.037051339743</v>
      </c>
      <c r="F60" s="33">
        <f t="shared" si="13"/>
        <v>10367</v>
      </c>
      <c r="G60" s="33">
        <f t="shared" si="17"/>
        <v>1.4103900000918657E-2</v>
      </c>
      <c r="H60" s="33"/>
      <c r="I60" s="33"/>
      <c r="J60" s="33"/>
      <c r="K60" s="33">
        <f>G60</f>
        <v>1.4103900000918657E-2</v>
      </c>
      <c r="L60" s="33"/>
      <c r="M60" s="33"/>
      <c r="N60" s="33"/>
      <c r="O60" s="33">
        <f t="shared" ca="1" si="10"/>
        <v>-2.3569900108766223E-3</v>
      </c>
      <c r="P60" s="54">
        <f t="shared" si="14"/>
        <v>1.6049153860947803E-2</v>
      </c>
      <c r="Q60" s="34">
        <f t="shared" si="15"/>
        <v>41427.842799999999</v>
      </c>
      <c r="R60" s="56">
        <f t="shared" si="18"/>
        <v>3.7840125799582925E-6</v>
      </c>
      <c r="S60" s="56">
        <v>0.9</v>
      </c>
      <c r="T60" s="56">
        <f t="shared" si="16"/>
        <v>3.4056113219624631E-6</v>
      </c>
    </row>
    <row r="61" spans="1:22" x14ac:dyDescent="0.2">
      <c r="A61" s="79" t="s">
        <v>64</v>
      </c>
      <c r="B61" s="78" t="s">
        <v>35</v>
      </c>
      <c r="C61" s="79">
        <v>56764.5789</v>
      </c>
      <c r="D61" s="79">
        <v>2.9999999999999997E-4</v>
      </c>
      <c r="E61" s="44">
        <f t="shared" si="12"/>
        <v>11203.052186173272</v>
      </c>
      <c r="F61" s="33">
        <f t="shared" si="13"/>
        <v>11203</v>
      </c>
      <c r="G61" s="33">
        <f t="shared" si="17"/>
        <v>1.9865100002789404E-2</v>
      </c>
      <c r="H61" s="33"/>
      <c r="I61" s="33"/>
      <c r="J61" s="33">
        <f>G61</f>
        <v>1.9865100002789404E-2</v>
      </c>
      <c r="K61" s="33"/>
      <c r="L61" s="33"/>
      <c r="M61" s="33"/>
      <c r="N61" s="33"/>
      <c r="O61" s="33">
        <f t="shared" ca="1" si="10"/>
        <v>5.9481401595626315E-3</v>
      </c>
      <c r="P61" s="54">
        <f t="shared" si="14"/>
        <v>1.9985228571803119E-2</v>
      </c>
      <c r="Q61" s="34">
        <f t="shared" si="15"/>
        <v>41746.0789</v>
      </c>
      <c r="R61" s="56">
        <f t="shared" si="18"/>
        <v>1.4430873093282939E-8</v>
      </c>
      <c r="S61" s="56">
        <v>1</v>
      </c>
      <c r="T61" s="56">
        <f t="shared" si="16"/>
        <v>1.4430873093282939E-8</v>
      </c>
      <c r="U61" s="33"/>
    </row>
    <row r="62" spans="1:22" x14ac:dyDescent="0.2">
      <c r="A62" s="80" t="s">
        <v>0</v>
      </c>
      <c r="B62" s="81" t="s">
        <v>35</v>
      </c>
      <c r="C62" s="82">
        <v>57125.446600000003</v>
      </c>
      <c r="D62" s="82">
        <v>1.6000000000000001E-3</v>
      </c>
      <c r="E62" s="33">
        <f t="shared" si="12"/>
        <v>12151.061726488044</v>
      </c>
      <c r="F62" s="33">
        <f t="shared" si="13"/>
        <v>12151</v>
      </c>
      <c r="G62" s="33">
        <f t="shared" si="17"/>
        <v>2.3496700006944593E-2</v>
      </c>
      <c r="H62" s="33"/>
      <c r="K62" s="33">
        <f t="shared" ref="K62:K74" si="19">+G62</f>
        <v>2.3496700006944593E-2</v>
      </c>
      <c r="L62" s="33"/>
      <c r="M62" s="33"/>
      <c r="N62" s="33"/>
      <c r="O62" s="33">
        <f t="shared" ca="1" si="10"/>
        <v>1.5365919348051177E-2</v>
      </c>
      <c r="P62" s="54">
        <f t="shared" si="14"/>
        <v>2.4888892811191166E-2</v>
      </c>
      <c r="Q62" s="34">
        <f t="shared" si="15"/>
        <v>42106.946600000003</v>
      </c>
      <c r="R62" s="56">
        <f t="shared" si="18"/>
        <v>1.9382008041959355E-6</v>
      </c>
      <c r="S62" s="56">
        <v>1</v>
      </c>
      <c r="T62" s="56">
        <f t="shared" si="16"/>
        <v>1.9382008041959355E-6</v>
      </c>
    </row>
    <row r="63" spans="1:22" x14ac:dyDescent="0.2">
      <c r="A63" s="80" t="s">
        <v>0</v>
      </c>
      <c r="B63" s="81" t="s">
        <v>35</v>
      </c>
      <c r="C63" s="82">
        <v>57133.440900000001</v>
      </c>
      <c r="D63" s="82">
        <v>2.2000000000000001E-3</v>
      </c>
      <c r="E63" s="33">
        <f t="shared" si="12"/>
        <v>12172.062976165244</v>
      </c>
      <c r="F63" s="33">
        <f t="shared" si="13"/>
        <v>12172</v>
      </c>
      <c r="G63" s="33">
        <f t="shared" si="17"/>
        <v>2.397239999845624E-2</v>
      </c>
      <c r="H63" s="33"/>
      <c r="K63" s="33">
        <f t="shared" si="19"/>
        <v>2.397239999845624E-2</v>
      </c>
      <c r="L63" s="33"/>
      <c r="M63" s="33"/>
      <c r="N63" s="33"/>
      <c r="O63" s="33">
        <f t="shared" ca="1" si="10"/>
        <v>1.5574541038935408E-2</v>
      </c>
      <c r="P63" s="54">
        <f t="shared" si="14"/>
        <v>2.5002815620757679E-2</v>
      </c>
      <c r="Q63" s="34">
        <f t="shared" si="15"/>
        <v>42114.940900000001</v>
      </c>
      <c r="R63" s="56">
        <f t="shared" si="18"/>
        <v>1.0617563546828625E-6</v>
      </c>
      <c r="S63" s="56">
        <v>1</v>
      </c>
      <c r="T63" s="56">
        <f t="shared" si="16"/>
        <v>1.0617563546828625E-6</v>
      </c>
    </row>
    <row r="64" spans="1:22" x14ac:dyDescent="0.2">
      <c r="A64" s="83" t="s">
        <v>240</v>
      </c>
      <c r="B64" s="84"/>
      <c r="C64" s="75">
        <v>57441.9686</v>
      </c>
      <c r="D64" s="75">
        <v>2.0000000000000001E-4</v>
      </c>
      <c r="E64" s="33">
        <f t="shared" si="12"/>
        <v>12982.573872683193</v>
      </c>
      <c r="F64" s="33">
        <f t="shared" si="13"/>
        <v>12982.5</v>
      </c>
      <c r="G64" s="33">
        <f t="shared" si="17"/>
        <v>2.8120249997300562E-2</v>
      </c>
      <c r="H64" s="33"/>
      <c r="K64" s="33">
        <f t="shared" si="19"/>
        <v>2.8120249997300562E-2</v>
      </c>
      <c r="L64" s="33"/>
      <c r="M64" s="33"/>
      <c r="N64" s="33"/>
      <c r="O64" s="33">
        <f t="shared" ca="1" si="10"/>
        <v>2.3626344870443794E-2</v>
      </c>
      <c r="P64" s="54">
        <f t="shared" si="14"/>
        <v>2.9575134022850426E-2</v>
      </c>
      <c r="Q64" s="34">
        <f t="shared" si="15"/>
        <v>42423.4686</v>
      </c>
      <c r="R64" s="56">
        <f t="shared" si="18"/>
        <v>2.1166875278001782E-6</v>
      </c>
      <c r="S64" s="56">
        <v>1</v>
      </c>
      <c r="T64" s="56">
        <f t="shared" si="16"/>
        <v>2.1166875278001782E-6</v>
      </c>
    </row>
    <row r="65" spans="1:20" x14ac:dyDescent="0.2">
      <c r="A65" s="86" t="s">
        <v>242</v>
      </c>
      <c r="B65" s="87" t="s">
        <v>43</v>
      </c>
      <c r="C65" s="88">
        <v>57879.353600000002</v>
      </c>
      <c r="D65" s="89" t="s">
        <v>84</v>
      </c>
      <c r="E65" s="33">
        <f t="shared" si="12"/>
        <v>14131.596500063188</v>
      </c>
      <c r="F65" s="33">
        <f t="shared" si="13"/>
        <v>14131.5</v>
      </c>
      <c r="G65" s="33">
        <f t="shared" si="17"/>
        <v>3.6733550005010329E-2</v>
      </c>
      <c r="H65" s="33"/>
      <c r="K65" s="33">
        <f t="shared" si="19"/>
        <v>3.6733550005010329E-2</v>
      </c>
      <c r="L65" s="33"/>
      <c r="M65" s="33"/>
      <c r="N65" s="33"/>
      <c r="O65" s="33">
        <f t="shared" ca="1" si="10"/>
        <v>3.5040931671681486E-2</v>
      </c>
      <c r="P65" s="54">
        <f t="shared" si="14"/>
        <v>3.6643161983654235E-2</v>
      </c>
      <c r="Q65" s="34">
        <f t="shared" si="15"/>
        <v>42860.853600000002</v>
      </c>
      <c r="R65" s="56">
        <f t="shared" si="18"/>
        <v>8.1699944046697501E-9</v>
      </c>
      <c r="S65" s="56">
        <v>1</v>
      </c>
      <c r="T65" s="56">
        <f t="shared" si="16"/>
        <v>8.1699944046697501E-9</v>
      </c>
    </row>
    <row r="66" spans="1:20" x14ac:dyDescent="0.2">
      <c r="A66" s="86" t="s">
        <v>242</v>
      </c>
      <c r="B66" s="87" t="s">
        <v>35</v>
      </c>
      <c r="C66" s="90">
        <v>57883.347999999998</v>
      </c>
      <c r="D66" s="89" t="s">
        <v>84</v>
      </c>
      <c r="E66" s="33">
        <f t="shared" si="12"/>
        <v>14142.089900574869</v>
      </c>
      <c r="F66" s="33">
        <f t="shared" si="13"/>
        <v>14142</v>
      </c>
      <c r="G66" s="33">
        <f t="shared" si="17"/>
        <v>3.422139999747742E-2</v>
      </c>
      <c r="H66" s="33"/>
      <c r="K66" s="33">
        <f t="shared" si="19"/>
        <v>3.422139999747742E-2</v>
      </c>
      <c r="L66" s="33"/>
      <c r="M66" s="33"/>
      <c r="N66" s="33"/>
      <c r="O66" s="33">
        <f t="shared" ca="1" si="10"/>
        <v>3.5145242517123615E-2</v>
      </c>
      <c r="P66" s="54">
        <f t="shared" si="14"/>
        <v>3.6710921698813792E-2</v>
      </c>
      <c r="Q66" s="34">
        <f t="shared" si="15"/>
        <v>42864.847999999998</v>
      </c>
      <c r="R66" s="56">
        <f t="shared" si="18"/>
        <v>6.1977183014247465E-6</v>
      </c>
      <c r="S66" s="56">
        <v>1</v>
      </c>
      <c r="T66" s="56">
        <f t="shared" si="16"/>
        <v>6.1977183014247465E-6</v>
      </c>
    </row>
    <row r="67" spans="1:20" x14ac:dyDescent="0.2">
      <c r="A67" s="85" t="s">
        <v>244</v>
      </c>
      <c r="B67" s="84"/>
      <c r="C67" s="75">
        <v>58206.917099999999</v>
      </c>
      <c r="D67" s="75">
        <v>5.9999999999999995E-4</v>
      </c>
      <c r="E67" s="33">
        <f t="shared" si="12"/>
        <v>14992.114975556817</v>
      </c>
      <c r="F67" s="33">
        <f t="shared" si="13"/>
        <v>14992</v>
      </c>
      <c r="G67" s="33">
        <f t="shared" si="17"/>
        <v>4.3766399998276029E-2</v>
      </c>
      <c r="H67" s="33"/>
      <c r="K67" s="33">
        <f t="shared" si="19"/>
        <v>4.3766399998276029E-2</v>
      </c>
      <c r="L67" s="33"/>
      <c r="M67" s="33"/>
      <c r="N67" s="33"/>
      <c r="O67" s="33">
        <f t="shared" ca="1" si="10"/>
        <v>4.3589453814819018E-2</v>
      </c>
      <c r="P67" s="54">
        <f t="shared" si="14"/>
        <v>4.2386639557171306E-2</v>
      </c>
      <c r="Q67" s="34">
        <f t="shared" si="15"/>
        <v>43188.417099999999</v>
      </c>
      <c r="R67" s="56">
        <f t="shared" si="18"/>
        <v>1.9037388748374994E-6</v>
      </c>
      <c r="S67" s="56">
        <v>1</v>
      </c>
      <c r="T67" s="56">
        <f t="shared" si="16"/>
        <v>1.9037388748374994E-6</v>
      </c>
    </row>
    <row r="68" spans="1:20" ht="12" customHeight="1" x14ac:dyDescent="0.2">
      <c r="A68" s="95" t="s">
        <v>246</v>
      </c>
      <c r="B68" s="96" t="s">
        <v>35</v>
      </c>
      <c r="C68" s="97">
        <v>58206.917099999999</v>
      </c>
      <c r="D68" s="95">
        <v>5.9999999999999995E-4</v>
      </c>
      <c r="E68" s="33">
        <f t="shared" si="12"/>
        <v>14992.114975556817</v>
      </c>
      <c r="F68" s="33">
        <f t="shared" si="13"/>
        <v>14992</v>
      </c>
      <c r="G68" s="33">
        <f t="shared" si="17"/>
        <v>4.3766399998276029E-2</v>
      </c>
      <c r="H68" s="33"/>
      <c r="K68" s="33">
        <f t="shared" si="19"/>
        <v>4.3766399998276029E-2</v>
      </c>
      <c r="L68" s="33"/>
      <c r="M68" s="33"/>
      <c r="N68" s="33"/>
      <c r="O68" s="33">
        <f t="shared" ca="1" si="10"/>
        <v>4.3589453814819018E-2</v>
      </c>
      <c r="P68" s="54">
        <f t="shared" si="14"/>
        <v>4.2386639557171306E-2</v>
      </c>
      <c r="Q68" s="34">
        <f t="shared" si="15"/>
        <v>43188.417099999999</v>
      </c>
      <c r="R68" s="56">
        <f t="shared" si="18"/>
        <v>1.9037388748374994E-6</v>
      </c>
      <c r="S68" s="56">
        <v>1</v>
      </c>
      <c r="T68" s="56">
        <f t="shared" si="16"/>
        <v>1.9037388748374994E-6</v>
      </c>
    </row>
    <row r="69" spans="1:20" ht="12" customHeight="1" x14ac:dyDescent="0.2">
      <c r="A69" s="91" t="s">
        <v>243</v>
      </c>
      <c r="C69" s="9">
        <v>58926.951699999998</v>
      </c>
      <c r="D69" s="9">
        <v>2.0000000000000001E-4</v>
      </c>
      <c r="E69" s="33">
        <f t="shared" si="12"/>
        <v>16883.66600701994</v>
      </c>
      <c r="F69" s="33">
        <f t="shared" si="13"/>
        <v>16883.5</v>
      </c>
      <c r="G69" s="33">
        <f t="shared" si="17"/>
        <v>6.3191950001055375E-2</v>
      </c>
      <c r="H69" s="33"/>
      <c r="K69" s="33">
        <f t="shared" si="19"/>
        <v>6.3191950001055375E-2</v>
      </c>
      <c r="L69" s="33"/>
      <c r="M69" s="33"/>
      <c r="N69" s="33"/>
      <c r="O69" s="33">
        <f t="shared" ca="1" si="10"/>
        <v>6.2380307543749486E-2</v>
      </c>
      <c r="P69" s="54">
        <f t="shared" si="14"/>
        <v>5.636670424509143E-2</v>
      </c>
      <c r="Q69" s="34">
        <f t="shared" si="15"/>
        <v>43908.451699999998</v>
      </c>
      <c r="R69" s="56">
        <f t="shared" si="18"/>
        <v>4.6583979629303842E-5</v>
      </c>
      <c r="S69" s="56">
        <v>1</v>
      </c>
      <c r="T69" s="56">
        <f t="shared" si="16"/>
        <v>4.6583979629303842E-5</v>
      </c>
    </row>
    <row r="70" spans="1:20" ht="12" customHeight="1" x14ac:dyDescent="0.2">
      <c r="A70" s="95" t="s">
        <v>247</v>
      </c>
      <c r="B70" s="96" t="s">
        <v>35</v>
      </c>
      <c r="C70" s="97">
        <v>59291.249799999874</v>
      </c>
      <c r="D70" s="95"/>
      <c r="E70" s="33">
        <f t="shared" si="12"/>
        <v>17840.687304072642</v>
      </c>
      <c r="F70" s="33">
        <f t="shared" si="13"/>
        <v>17840.5</v>
      </c>
      <c r="G70" s="33">
        <f t="shared" si="17"/>
        <v>7.1298849870800041E-2</v>
      </c>
      <c r="H70" s="33"/>
      <c r="K70" s="33">
        <f t="shared" si="19"/>
        <v>7.1298849870800041E-2</v>
      </c>
      <c r="L70" s="33"/>
      <c r="M70" s="33"/>
      <c r="N70" s="33"/>
      <c r="O70" s="33">
        <f t="shared" ca="1" si="10"/>
        <v>7.1887496028331249E-2</v>
      </c>
      <c r="P70" s="54">
        <f t="shared" si="14"/>
        <v>6.4149532647038252E-2</v>
      </c>
      <c r="Q70" s="34">
        <f t="shared" si="15"/>
        <v>44272.749799999874</v>
      </c>
      <c r="R70" s="56">
        <f t="shared" si="18"/>
        <v>5.1112736765976978E-5</v>
      </c>
      <c r="S70" s="56">
        <v>1</v>
      </c>
      <c r="T70" s="56">
        <f t="shared" si="16"/>
        <v>5.1112736765976978E-5</v>
      </c>
    </row>
    <row r="71" spans="1:20" ht="12" customHeight="1" x14ac:dyDescent="0.2">
      <c r="A71" s="95" t="s">
        <v>248</v>
      </c>
      <c r="B71" s="96" t="s">
        <v>35</v>
      </c>
      <c r="C71" s="97">
        <v>59328.366099999999</v>
      </c>
      <c r="D71" s="95">
        <v>2.3E-3</v>
      </c>
      <c r="E71" s="33">
        <f t="shared" si="12"/>
        <v>17938.19286220739</v>
      </c>
      <c r="F71" s="33">
        <f t="shared" si="13"/>
        <v>17938</v>
      </c>
      <c r="G71" s="33">
        <f t="shared" si="17"/>
        <v>7.3414600003161468E-2</v>
      </c>
      <c r="H71" s="33"/>
      <c r="K71" s="33">
        <f t="shared" si="19"/>
        <v>7.3414600003161468E-2</v>
      </c>
      <c r="L71" s="33"/>
      <c r="M71" s="33"/>
      <c r="N71" s="33"/>
      <c r="O71" s="33">
        <f t="shared" ca="1" si="10"/>
        <v>7.2856096736008097E-2</v>
      </c>
      <c r="P71" s="54">
        <f t="shared" si="14"/>
        <v>6.4969218936921092E-2</v>
      </c>
      <c r="Q71" s="34">
        <f t="shared" si="15"/>
        <v>44309.866099999999</v>
      </c>
      <c r="R71" s="56">
        <f t="shared" si="18"/>
        <v>7.1324461354011428E-5</v>
      </c>
      <c r="S71" s="56">
        <v>1</v>
      </c>
      <c r="T71" s="56">
        <f t="shared" si="16"/>
        <v>7.1324461354011428E-5</v>
      </c>
    </row>
    <row r="72" spans="1:20" ht="12" customHeight="1" x14ac:dyDescent="0.2">
      <c r="A72" s="95" t="s">
        <v>248</v>
      </c>
      <c r="B72" s="96" t="s">
        <v>35</v>
      </c>
      <c r="C72" s="97">
        <v>59328.556499999999</v>
      </c>
      <c r="D72" s="95">
        <v>1E-3</v>
      </c>
      <c r="E72" s="33">
        <f t="shared" si="12"/>
        <v>17938.693048332323</v>
      </c>
      <c r="F72" s="33">
        <f t="shared" si="13"/>
        <v>17938.5</v>
      </c>
      <c r="G72" s="33">
        <f t="shared" si="17"/>
        <v>7.3485449996951502E-2</v>
      </c>
      <c r="H72" s="33"/>
      <c r="K72" s="33">
        <f t="shared" si="19"/>
        <v>7.3485449996951502E-2</v>
      </c>
      <c r="L72" s="33"/>
      <c r="M72" s="33"/>
      <c r="N72" s="33"/>
      <c r="O72" s="33">
        <f t="shared" ca="1" si="10"/>
        <v>7.2861063919124364E-2</v>
      </c>
      <c r="P72" s="54">
        <f t="shared" si="14"/>
        <v>6.4973435212239222E-2</v>
      </c>
      <c r="Q72" s="34">
        <f t="shared" si="15"/>
        <v>44310.056499999999</v>
      </c>
      <c r="R72" s="56">
        <f t="shared" si="18"/>
        <v>7.2454395695160429E-5</v>
      </c>
      <c r="S72" s="56">
        <v>1</v>
      </c>
      <c r="T72" s="56">
        <f t="shared" si="16"/>
        <v>7.2454395695160429E-5</v>
      </c>
    </row>
    <row r="73" spans="1:20" ht="12" customHeight="1" x14ac:dyDescent="0.2">
      <c r="A73" s="92" t="s">
        <v>245</v>
      </c>
      <c r="B73" s="93" t="s">
        <v>35</v>
      </c>
      <c r="C73" s="94">
        <v>59375.569100000001</v>
      </c>
      <c r="D73" s="94">
        <v>1E-4</v>
      </c>
      <c r="E73" s="33">
        <f t="shared" si="12"/>
        <v>18062.196463337332</v>
      </c>
      <c r="F73" s="33">
        <f t="shared" si="13"/>
        <v>18062</v>
      </c>
      <c r="G73" s="33">
        <f t="shared" si="17"/>
        <v>7.4785400000109803E-2</v>
      </c>
      <c r="H73" s="33"/>
      <c r="K73" s="33">
        <f t="shared" si="19"/>
        <v>7.4785400000109803E-2</v>
      </c>
      <c r="L73" s="33"/>
      <c r="M73" s="33"/>
      <c r="N73" s="33"/>
      <c r="O73" s="33">
        <f t="shared" ca="1" si="10"/>
        <v>7.408795814884836E-2</v>
      </c>
      <c r="P73" s="54">
        <f t="shared" si="14"/>
        <v>6.6018841819682733E-2</v>
      </c>
      <c r="Q73" s="34">
        <f t="shared" si="15"/>
        <v>44357.069100000001</v>
      </c>
      <c r="R73" s="56">
        <f t="shared" si="18"/>
        <v>7.6852542330812775E-5</v>
      </c>
      <c r="S73" s="56">
        <v>1</v>
      </c>
      <c r="T73" s="56">
        <f t="shared" si="16"/>
        <v>7.6852542330812775E-5</v>
      </c>
    </row>
    <row r="74" spans="1:20" ht="12" customHeight="1" x14ac:dyDescent="0.2">
      <c r="A74" s="95" t="s">
        <v>249</v>
      </c>
      <c r="B74" s="96" t="s">
        <v>35</v>
      </c>
      <c r="C74" s="97">
        <v>59763.467799999999</v>
      </c>
      <c r="D74" s="95">
        <v>4.0000000000000002E-4</v>
      </c>
      <c r="E74" s="33">
        <f t="shared" si="12"/>
        <v>19081.21719663015</v>
      </c>
      <c r="F74" s="33">
        <f t="shared" si="13"/>
        <v>19081</v>
      </c>
      <c r="G74" s="33">
        <f t="shared" si="17"/>
        <v>8.2677699996565934E-2</v>
      </c>
      <c r="H74" s="33"/>
      <c r="K74" s="33">
        <f t="shared" si="19"/>
        <v>8.2677699996565934E-2</v>
      </c>
      <c r="L74" s="33"/>
      <c r="M74" s="33"/>
      <c r="N74" s="33"/>
      <c r="O74" s="33">
        <f t="shared" ca="1" si="10"/>
        <v>8.4211077339850282E-2</v>
      </c>
      <c r="P74" s="54">
        <f t="shared" si="14"/>
        <v>7.4947575750268156E-2</v>
      </c>
      <c r="Q74" s="34">
        <f t="shared" si="15"/>
        <v>44744.967799999999</v>
      </c>
      <c r="R74" s="56">
        <f t="shared" si="18"/>
        <v>5.9754820863200801E-5</v>
      </c>
      <c r="S74" s="56">
        <v>1</v>
      </c>
      <c r="T74" s="56">
        <f t="shared" si="16"/>
        <v>5.9754820863200801E-5</v>
      </c>
    </row>
    <row r="75" spans="1:20" ht="12" customHeight="1" x14ac:dyDescent="0.2">
      <c r="C75" s="9"/>
      <c r="D75" s="9"/>
    </row>
    <row r="76" spans="1:20" ht="12" customHeight="1" x14ac:dyDescent="0.2">
      <c r="C76" s="9"/>
      <c r="D76" s="9"/>
    </row>
    <row r="77" spans="1:20" x14ac:dyDescent="0.2">
      <c r="C77" s="9"/>
      <c r="D77" s="9"/>
    </row>
    <row r="78" spans="1:20" x14ac:dyDescent="0.2">
      <c r="C78" s="9"/>
      <c r="D78" s="9"/>
    </row>
    <row r="79" spans="1:20" x14ac:dyDescent="0.2">
      <c r="C79" s="9"/>
      <c r="D79" s="9"/>
    </row>
    <row r="80" spans="1:20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</sheetData>
  <sortState xmlns:xlrd2="http://schemas.microsoft.com/office/spreadsheetml/2017/richdata2" ref="A21:T74">
    <sortCondition ref="C21:C74"/>
  </sortState>
  <phoneticPr fontId="8" type="noConversion"/>
  <hyperlinks>
    <hyperlink ref="H132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23"/>
  <sheetViews>
    <sheetView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20" si="0">+D$11+D$12*V2+D$13*V2^2</f>
        <v>2.3E-3</v>
      </c>
    </row>
    <row r="3" spans="1:23" ht="13.5" thickBot="1" x14ac:dyDescent="0.25">
      <c r="V3" s="56">
        <v>-3000</v>
      </c>
      <c r="W3" s="56">
        <f t="shared" si="0"/>
        <v>1.25E-3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4.999999999999999E-4</v>
      </c>
    </row>
    <row r="5" spans="1:23" ht="13.5" thickTop="1" x14ac:dyDescent="0.2">
      <c r="A5" s="10" t="s">
        <v>29</v>
      </c>
      <c r="B5" s="11"/>
      <c r="C5" s="12">
        <v>7</v>
      </c>
      <c r="D5" s="11" t="s">
        <v>30</v>
      </c>
      <c r="E5" s="11"/>
      <c r="V5" s="56">
        <v>-1000</v>
      </c>
      <c r="W5" s="56">
        <f t="shared" si="0"/>
        <v>4.9999999999999982E-5</v>
      </c>
    </row>
    <row r="6" spans="1:23" x14ac:dyDescent="0.2">
      <c r="A6" s="4" t="s">
        <v>1</v>
      </c>
      <c r="V6" s="56">
        <v>0</v>
      </c>
      <c r="W6" s="56">
        <f t="shared" si="0"/>
        <v>-1E-4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4.9999999999999982E-5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4.999999999999999E-4</v>
      </c>
    </row>
    <row r="9" spans="1:23" x14ac:dyDescent="0.2">
      <c r="A9" s="25" t="s">
        <v>34</v>
      </c>
      <c r="C9" s="26">
        <v>38</v>
      </c>
      <c r="D9" s="23" t="str">
        <f>"F"&amp;C9</f>
        <v>F38</v>
      </c>
      <c r="E9" s="24" t="str">
        <f>"G"&amp;C9</f>
        <v>G38</v>
      </c>
      <c r="V9" s="56">
        <v>3000</v>
      </c>
      <c r="W9" s="56">
        <f t="shared" si="0"/>
        <v>1.25E-3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2.3E-3</v>
      </c>
    </row>
    <row r="11" spans="1:23" x14ac:dyDescent="0.2">
      <c r="A11" s="11" t="s">
        <v>15</v>
      </c>
      <c r="B11" s="11"/>
      <c r="C11" s="22">
        <f ca="1">INTERCEPT(INDIRECT($E$9):G975,INDIRECT($D$9):F975)</f>
        <v>-1.7776098872287316E-2</v>
      </c>
      <c r="D11" s="2">
        <f>+E11*F11</f>
        <v>-1E-4</v>
      </c>
      <c r="E11" s="48">
        <v>-1E-4</v>
      </c>
      <c r="F11">
        <v>1</v>
      </c>
      <c r="V11" s="56">
        <v>5000</v>
      </c>
      <c r="W11" s="56">
        <f t="shared" si="0"/>
        <v>3.65E-3</v>
      </c>
    </row>
    <row r="12" spans="1:23" x14ac:dyDescent="0.2">
      <c r="A12" s="11" t="s">
        <v>16</v>
      </c>
      <c r="B12" s="11"/>
      <c r="C12" s="22">
        <f ca="1">SLOPE(INDIRECT($E$9):G975,INDIRECT($D$9):F975)</f>
        <v>3.0194705643653084E-6</v>
      </c>
      <c r="D12" s="2">
        <f>+E12*F12</f>
        <v>0</v>
      </c>
      <c r="E12" s="49">
        <v>0</v>
      </c>
      <c r="F12" s="50">
        <v>1E-4</v>
      </c>
      <c r="V12" s="56">
        <v>6000</v>
      </c>
      <c r="W12" s="56">
        <f t="shared" si="0"/>
        <v>5.3E-3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1.5E-10</v>
      </c>
      <c r="E13" s="51">
        <v>1.4999999999999999E-2</v>
      </c>
      <c r="F13" s="50">
        <v>1E-8</v>
      </c>
      <c r="V13" s="56">
        <v>7000</v>
      </c>
      <c r="W13" s="56">
        <f t="shared" si="0"/>
        <v>7.2499999999999995E-3</v>
      </c>
    </row>
    <row r="14" spans="1:23" x14ac:dyDescent="0.2">
      <c r="A14" s="11"/>
      <c r="B14" s="11"/>
      <c r="C14" s="11"/>
      <c r="E14">
        <f>SUM(T21:T950)</f>
        <v>4.695635029957494E-6</v>
      </c>
      <c r="V14" s="56">
        <v>8000</v>
      </c>
      <c r="W14" s="56">
        <f t="shared" si="0"/>
        <v>9.4999999999999998E-3</v>
      </c>
    </row>
    <row r="15" spans="1:23" x14ac:dyDescent="0.2">
      <c r="A15" s="13" t="s">
        <v>17</v>
      </c>
      <c r="B15" s="11"/>
      <c r="C15" s="14">
        <f ca="1">(C7+C11)+(C8+C12)*INT(MAX(F21:F3516))</f>
        <v>57441.771573267994</v>
      </c>
      <c r="E15" s="15" t="s">
        <v>55</v>
      </c>
      <c r="F15" s="12">
        <v>1</v>
      </c>
      <c r="V15" s="56">
        <v>9000</v>
      </c>
      <c r="W15" s="56">
        <f t="shared" si="0"/>
        <v>1.205E-2</v>
      </c>
    </row>
    <row r="16" spans="1:23" x14ac:dyDescent="0.2">
      <c r="A16" s="17" t="s">
        <v>4</v>
      </c>
      <c r="B16" s="11"/>
      <c r="C16" s="18">
        <f ca="1">+C8+C12</f>
        <v>0.38066131947056436</v>
      </c>
      <c r="E16" s="15" t="s">
        <v>31</v>
      </c>
      <c r="F16" s="16">
        <f ca="1">NOW()+15018.5+$C$5/24</f>
        <v>59971.537108564815</v>
      </c>
      <c r="V16" s="56">
        <v>10000</v>
      </c>
      <c r="W16" s="56">
        <f t="shared" si="0"/>
        <v>1.49E-2</v>
      </c>
    </row>
    <row r="17" spans="1:23" ht="13.5" thickBot="1" x14ac:dyDescent="0.25">
      <c r="A17" s="15" t="s">
        <v>28</v>
      </c>
      <c r="B17" s="11"/>
      <c r="C17" s="11">
        <f>COUNT(C21:C2174)</f>
        <v>37</v>
      </c>
      <c r="E17" s="15" t="s">
        <v>56</v>
      </c>
      <c r="F17" s="16">
        <f ca="1">ROUND(2*(F16-$C$7)/$C$8,0)/2+F15</f>
        <v>19629</v>
      </c>
      <c r="V17" s="56">
        <v>11000</v>
      </c>
      <c r="W17" s="56">
        <f t="shared" si="0"/>
        <v>1.805E-2</v>
      </c>
    </row>
    <row r="18" spans="1:23" ht="14.25" thickTop="1" thickBot="1" x14ac:dyDescent="0.25">
      <c r="A18" s="17" t="s">
        <v>5</v>
      </c>
      <c r="B18" s="11"/>
      <c r="C18" s="20">
        <f ca="1">+C15</f>
        <v>57441.771573267994</v>
      </c>
      <c r="D18" s="21">
        <f ca="1">+C16</f>
        <v>0.38066131947056436</v>
      </c>
      <c r="E18" s="15" t="s">
        <v>32</v>
      </c>
      <c r="F18" s="24">
        <f ca="1">ROUND(2*(F16-$C$15)/$C$16,0)/2+F15</f>
        <v>6646.5</v>
      </c>
      <c r="V18" s="56">
        <v>12000</v>
      </c>
      <c r="W18" s="56">
        <f t="shared" si="0"/>
        <v>2.1500000000000002E-2</v>
      </c>
    </row>
    <row r="19" spans="1:23" ht="13.5" thickTop="1" x14ac:dyDescent="0.2">
      <c r="E19" s="15" t="s">
        <v>33</v>
      </c>
      <c r="F19" s="19">
        <f ca="1">+$C$15+$C$16*F18-15018.5-$C$5/24</f>
        <v>44953.045366462437</v>
      </c>
      <c r="V19" s="56">
        <v>13000</v>
      </c>
      <c r="W19" s="56">
        <f t="shared" si="0"/>
        <v>2.5250000000000002E-2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27</v>
      </c>
      <c r="J20" s="6" t="s">
        <v>58</v>
      </c>
      <c r="K20" s="6" t="s">
        <v>60</v>
      </c>
      <c r="L20" s="6" t="s">
        <v>24</v>
      </c>
      <c r="M20" s="6" t="s">
        <v>25</v>
      </c>
      <c r="N20" s="6" t="s">
        <v>26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70</v>
      </c>
      <c r="V20" s="56">
        <v>14000</v>
      </c>
      <c r="W20" s="56">
        <f t="shared" si="0"/>
        <v>2.93E-2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7" si="1">+(C21-C$7)/C$8</f>
        <v>-3174.0019855077412</v>
      </c>
      <c r="F21" s="33">
        <f t="shared" ref="F21:F57" si="2">ROUND(2*E21,0)/2</f>
        <v>-3174</v>
      </c>
      <c r="G21" s="33">
        <f t="shared" ref="G21:G57" si="3">+C21-(C$7+F21*C$8)</f>
        <v>-7.5579999975161627E-4</v>
      </c>
      <c r="H21" s="33"/>
      <c r="I21" s="33">
        <f t="shared" ref="I21:I30" si="4">+G21</f>
        <v>-7.5579999975161627E-4</v>
      </c>
      <c r="J21" s="33"/>
      <c r="K21" s="33"/>
      <c r="L21" s="33"/>
      <c r="M21" s="33"/>
      <c r="N21" s="33"/>
      <c r="O21" s="33"/>
      <c r="P21" s="54">
        <f>+D$11+D$12*F21+D$13*F21^2</f>
        <v>1.4111414E-3</v>
      </c>
      <c r="Q21" s="55">
        <f t="shared" ref="Q21:Q57" si="5">+C21-15018.5</f>
        <v>36273.333899999998</v>
      </c>
      <c r="R21" s="56">
        <f>+(P21-G21)^2</f>
        <v>4.695635029957494E-6</v>
      </c>
      <c r="S21" s="56">
        <v>1</v>
      </c>
      <c r="T21" s="56">
        <f>+S21*R21</f>
        <v>4.695635029957494E-6</v>
      </c>
      <c r="U21" s="57"/>
      <c r="V21" s="56"/>
      <c r="W21" s="56"/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1"/>
        <v>-3137.4939151464696</v>
      </c>
      <c r="F22" s="33">
        <f t="shared" si="2"/>
        <v>-3137.5</v>
      </c>
      <c r="G22" s="33">
        <f t="shared" si="3"/>
        <v>2.3162500001490116E-3</v>
      </c>
      <c r="H22" s="33"/>
      <c r="I22" s="33">
        <f t="shared" si="4"/>
        <v>2.3162500001490116E-3</v>
      </c>
      <c r="J22" s="33"/>
      <c r="K22" s="33"/>
      <c r="L22" s="33"/>
      <c r="M22" s="33"/>
      <c r="N22" s="33"/>
      <c r="O22" s="33"/>
      <c r="P22" s="33"/>
      <c r="Q22" s="34">
        <f t="shared" si="5"/>
        <v>36287.231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1"/>
        <v>-366.50192574285768</v>
      </c>
      <c r="F23" s="33">
        <f t="shared" si="2"/>
        <v>-366.5</v>
      </c>
      <c r="G23" s="33">
        <f t="shared" si="3"/>
        <v>-7.3305000114487484E-4</v>
      </c>
      <c r="H23" s="33"/>
      <c r="I23" s="33">
        <f t="shared" si="4"/>
        <v>-7.3305000114487484E-4</v>
      </c>
      <c r="J23" s="33"/>
      <c r="K23" s="33"/>
      <c r="L23" s="33"/>
      <c r="M23" s="33"/>
      <c r="N23" s="33"/>
      <c r="O23" s="33"/>
      <c r="P23" s="33"/>
      <c r="Q23" s="34">
        <f t="shared" si="5"/>
        <v>37342.032099999997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1"/>
        <v>-353.50575568691812</v>
      </c>
      <c r="F24" s="33">
        <f t="shared" si="2"/>
        <v>-353.5</v>
      </c>
      <c r="G24" s="33">
        <f t="shared" si="3"/>
        <v>-2.1909499992034398E-3</v>
      </c>
      <c r="H24" s="33"/>
      <c r="I24" s="33">
        <f t="shared" si="4"/>
        <v>-2.1909499992034398E-3</v>
      </c>
      <c r="J24" s="33"/>
      <c r="K24" s="33"/>
      <c r="L24" s="33"/>
      <c r="M24" s="33"/>
      <c r="N24" s="33"/>
      <c r="O24" s="33"/>
      <c r="P24" s="33"/>
      <c r="Q24" s="34">
        <f t="shared" si="5"/>
        <v>37346.979200000002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1"/>
        <v>-345.98772705074026</v>
      </c>
      <c r="F25" s="33">
        <f t="shared" si="2"/>
        <v>-346</v>
      </c>
      <c r="G25" s="33">
        <f t="shared" si="3"/>
        <v>4.6718000012333505E-3</v>
      </c>
      <c r="H25" s="33"/>
      <c r="I25" s="33">
        <f t="shared" si="4"/>
        <v>4.6718000012333505E-3</v>
      </c>
      <c r="J25" s="33"/>
      <c r="K25" s="33"/>
      <c r="L25" s="33"/>
      <c r="M25" s="33"/>
      <c r="N25" s="33"/>
      <c r="O25" s="33"/>
      <c r="P25" s="33"/>
      <c r="Q25" s="34">
        <f t="shared" si="5"/>
        <v>37349.841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1"/>
        <v>-345.49752363208131</v>
      </c>
      <c r="F26" s="33">
        <f t="shared" si="2"/>
        <v>-345.5</v>
      </c>
      <c r="G26" s="33">
        <f t="shared" si="3"/>
        <v>9.426500037079677E-4</v>
      </c>
      <c r="H26" s="33"/>
      <c r="I26" s="33">
        <f t="shared" si="4"/>
        <v>9.426500037079677E-4</v>
      </c>
      <c r="J26" s="33"/>
      <c r="K26" s="33"/>
      <c r="L26" s="33"/>
      <c r="M26" s="33"/>
      <c r="N26" s="33"/>
      <c r="O26" s="33"/>
      <c r="P26" s="33"/>
      <c r="Q26" s="34">
        <f t="shared" si="5"/>
        <v>37350.027600000001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1"/>
        <v>-274.99781299922404</v>
      </c>
      <c r="F27" s="33">
        <f t="shared" si="2"/>
        <v>-275</v>
      </c>
      <c r="G27" s="33">
        <f t="shared" si="3"/>
        <v>8.32499994430691E-4</v>
      </c>
      <c r="H27" s="33"/>
      <c r="I27" s="33">
        <f t="shared" si="4"/>
        <v>8.32499994430691E-4</v>
      </c>
      <c r="J27" s="33"/>
      <c r="K27" s="33"/>
      <c r="L27" s="33"/>
      <c r="M27" s="33"/>
      <c r="N27" s="33"/>
      <c r="O27" s="33"/>
      <c r="P27" s="33"/>
      <c r="Q27" s="34">
        <f t="shared" si="5"/>
        <v>37376.863899999997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1"/>
        <v>-274.50288093020998</v>
      </c>
      <c r="F28" s="33">
        <f t="shared" si="2"/>
        <v>-274.5</v>
      </c>
      <c r="G28" s="33">
        <f t="shared" si="3"/>
        <v>-1.0966499976348132E-3</v>
      </c>
      <c r="H28" s="33"/>
      <c r="I28" s="33">
        <f t="shared" si="4"/>
        <v>-1.0966499976348132E-3</v>
      </c>
      <c r="J28" s="33"/>
      <c r="K28" s="33"/>
      <c r="L28" s="33"/>
      <c r="M28" s="33"/>
      <c r="N28" s="33"/>
      <c r="O28" s="33"/>
      <c r="P28" s="33"/>
      <c r="Q28" s="34">
        <f t="shared" si="5"/>
        <v>37377.052300000003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1"/>
        <v>-238.00400516683956</v>
      </c>
      <c r="F29" s="33">
        <f t="shared" si="2"/>
        <v>-238</v>
      </c>
      <c r="G29" s="33">
        <f t="shared" si="3"/>
        <v>-1.5246000039041974E-3</v>
      </c>
      <c r="H29" s="33"/>
      <c r="I29" s="33">
        <f t="shared" si="4"/>
        <v>-1.5246000039041974E-3</v>
      </c>
      <c r="J29" s="33"/>
      <c r="K29" s="33"/>
      <c r="L29" s="33"/>
      <c r="M29" s="33"/>
      <c r="N29" s="33"/>
      <c r="O29" s="33"/>
      <c r="P29" s="33"/>
      <c r="Q29" s="34">
        <f t="shared" si="5"/>
        <v>37390.945899999999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1"/>
        <v>-222.00566755013966</v>
      </c>
      <c r="F30" s="33">
        <f t="shared" si="2"/>
        <v>-222</v>
      </c>
      <c r="G30" s="33">
        <f t="shared" si="3"/>
        <v>-2.1573999983957037E-3</v>
      </c>
      <c r="H30" s="33"/>
      <c r="I30" s="33">
        <f t="shared" si="4"/>
        <v>-2.1573999983957037E-3</v>
      </c>
      <c r="J30" s="33"/>
      <c r="K30" s="33"/>
      <c r="L30" s="33"/>
      <c r="M30" s="33"/>
      <c r="N30" s="33"/>
      <c r="O30" s="33"/>
      <c r="P30" s="33"/>
      <c r="Q30" s="34">
        <f t="shared" si="5"/>
        <v>37397.035799999998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1"/>
        <v>0</v>
      </c>
      <c r="F31" s="33">
        <f t="shared" si="2"/>
        <v>0</v>
      </c>
      <c r="G31" s="33">
        <f t="shared" si="3"/>
        <v>0</v>
      </c>
      <c r="H31" s="33">
        <f>+G31</f>
        <v>0</v>
      </c>
      <c r="Q31" s="34">
        <f t="shared" si="5"/>
        <v>37481.544099999999</v>
      </c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1"/>
        <v>880.99878552496727</v>
      </c>
      <c r="F32" s="33">
        <f t="shared" si="2"/>
        <v>881</v>
      </c>
      <c r="G32" s="33">
        <f t="shared" si="3"/>
        <v>-4.6229999861679971E-4</v>
      </c>
      <c r="I32" s="33">
        <f t="shared" ref="I32:I46" si="6">+G32</f>
        <v>-4.6229999861679971E-4</v>
      </c>
      <c r="Q32" s="34">
        <f t="shared" si="5"/>
        <v>37816.903599999998</v>
      </c>
    </row>
    <row r="33" spans="1:17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1"/>
        <v>1881.994429124499</v>
      </c>
      <c r="F33" s="33">
        <f t="shared" si="2"/>
        <v>1882</v>
      </c>
      <c r="G33" s="33">
        <f t="shared" si="3"/>
        <v>-2.1205999946687371E-3</v>
      </c>
      <c r="I33" s="33">
        <f t="shared" si="6"/>
        <v>-2.1205999946687371E-3</v>
      </c>
      <c r="Q33" s="34">
        <f t="shared" si="5"/>
        <v>38197.940900000001</v>
      </c>
    </row>
    <row r="34" spans="1:17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1"/>
        <v>2735.9955109346197</v>
      </c>
      <c r="F34" s="33">
        <f t="shared" si="2"/>
        <v>2736</v>
      </c>
      <c r="G34" s="33">
        <f t="shared" si="3"/>
        <v>-1.708799994958099E-3</v>
      </c>
      <c r="H34" s="33"/>
      <c r="I34" s="33">
        <f t="shared" si="6"/>
        <v>-1.708799994958099E-3</v>
      </c>
      <c r="J34" s="33"/>
      <c r="K34" s="33"/>
      <c r="L34" s="33"/>
      <c r="M34" s="33"/>
      <c r="N34" s="33"/>
      <c r="O34" s="33">
        <f t="shared" ref="O34:O57" ca="1" si="7">+C$11+C$12*$F34</f>
        <v>-9.5148274081838322E-3</v>
      </c>
      <c r="P34" s="33"/>
      <c r="Q34" s="34">
        <f t="shared" si="5"/>
        <v>38523.023500000003</v>
      </c>
    </row>
    <row r="35" spans="1:17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1"/>
        <v>3723.4942729476825</v>
      </c>
      <c r="F35" s="33">
        <f t="shared" si="2"/>
        <v>3723.5</v>
      </c>
      <c r="G35" s="33">
        <f t="shared" si="3"/>
        <v>-2.1800499962409958E-3</v>
      </c>
      <c r="I35" s="33">
        <f t="shared" si="6"/>
        <v>-2.1800499962409958E-3</v>
      </c>
      <c r="O35" s="33">
        <f t="shared" ca="1" si="7"/>
        <v>-6.5331002258730893E-3</v>
      </c>
      <c r="Q35" s="34">
        <f t="shared" si="5"/>
        <v>38898.9231</v>
      </c>
    </row>
    <row r="36" spans="1:17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1"/>
        <v>4459.0071988447316</v>
      </c>
      <c r="F36" s="33">
        <f t="shared" si="2"/>
        <v>4459</v>
      </c>
      <c r="G36" s="33">
        <f t="shared" si="3"/>
        <v>2.7402999985497445E-3</v>
      </c>
      <c r="I36" s="33">
        <f t="shared" si="6"/>
        <v>2.7402999985497445E-3</v>
      </c>
      <c r="O36" s="33">
        <f t="shared" ca="1" si="7"/>
        <v>-4.3122796257824055E-3</v>
      </c>
      <c r="Q36" s="34">
        <f t="shared" si="5"/>
        <v>39178.902199999997</v>
      </c>
    </row>
    <row r="37" spans="1:17" s="33" customFormat="1" x14ac:dyDescent="0.2">
      <c r="A37" s="30" t="s">
        <v>42</v>
      </c>
      <c r="B37" s="29" t="s">
        <v>43</v>
      </c>
      <c r="C37" s="30">
        <v>54684.452799999999</v>
      </c>
      <c r="D37" s="30">
        <v>6.9999999999999999E-4</v>
      </c>
      <c r="E37" s="33">
        <f t="shared" si="1"/>
        <v>5738.5027464263876</v>
      </c>
      <c r="F37" s="33">
        <f t="shared" si="2"/>
        <v>5738.5</v>
      </c>
      <c r="G37" s="33">
        <f t="shared" si="3"/>
        <v>1.0454500006744638E-3</v>
      </c>
      <c r="I37" s="33">
        <f t="shared" si="6"/>
        <v>1.0454500006744638E-3</v>
      </c>
      <c r="O37" s="33">
        <f t="shared" ca="1" si="7"/>
        <v>-4.4886703867699426E-4</v>
      </c>
      <c r="Q37" s="34">
        <f t="shared" si="5"/>
        <v>39665.952799999999</v>
      </c>
    </row>
    <row r="38" spans="1:17" x14ac:dyDescent="0.2">
      <c r="A38" s="31" t="s">
        <v>51</v>
      </c>
      <c r="B38" s="35" t="s">
        <v>35</v>
      </c>
      <c r="C38" s="31">
        <v>54932.453500000003</v>
      </c>
      <c r="D38" s="31">
        <v>5.0000000000000001E-4</v>
      </c>
      <c r="E38" s="33">
        <f t="shared" si="1"/>
        <v>6390.0075211810808</v>
      </c>
      <c r="F38" s="33">
        <f t="shared" si="2"/>
        <v>6390</v>
      </c>
      <c r="G38" s="33">
        <f t="shared" si="3"/>
        <v>2.8630000015255064E-3</v>
      </c>
      <c r="H38" s="33"/>
      <c r="I38" s="33">
        <f t="shared" si="6"/>
        <v>2.8630000015255064E-3</v>
      </c>
      <c r="J38" s="33"/>
      <c r="K38" s="33"/>
      <c r="L38" s="33"/>
      <c r="M38" s="33"/>
      <c r="N38" s="33"/>
      <c r="O38" s="33">
        <f t="shared" ca="1" si="7"/>
        <v>1.5183180340070032E-3</v>
      </c>
      <c r="P38" s="33"/>
      <c r="Q38" s="34">
        <f t="shared" si="5"/>
        <v>39913.953500000003</v>
      </c>
    </row>
    <row r="39" spans="1:17" x14ac:dyDescent="0.2">
      <c r="A39" s="31" t="s">
        <v>52</v>
      </c>
      <c r="B39" s="35" t="s">
        <v>35</v>
      </c>
      <c r="C39" s="31">
        <v>54945.7762</v>
      </c>
      <c r="D39" s="31">
        <v>2.0000000000000001E-4</v>
      </c>
      <c r="E39" s="33">
        <f t="shared" si="1"/>
        <v>6425.0066266780495</v>
      </c>
      <c r="F39" s="33">
        <f t="shared" si="2"/>
        <v>6425</v>
      </c>
      <c r="G39" s="33">
        <f t="shared" si="3"/>
        <v>2.5224999990314245E-3</v>
      </c>
      <c r="H39" s="33"/>
      <c r="I39" s="33">
        <f t="shared" si="6"/>
        <v>2.5224999990314245E-3</v>
      </c>
      <c r="J39" s="33"/>
      <c r="K39" s="33"/>
      <c r="L39" s="33"/>
      <c r="M39" s="33"/>
      <c r="N39" s="33"/>
      <c r="O39" s="33">
        <f t="shared" ca="1" si="7"/>
        <v>1.6239995037597918E-3</v>
      </c>
      <c r="P39" s="33"/>
      <c r="Q39" s="34">
        <f t="shared" si="5"/>
        <v>39927.2762</v>
      </c>
    </row>
    <row r="40" spans="1:17" s="33" customFormat="1" x14ac:dyDescent="0.2">
      <c r="A40" s="30" t="s">
        <v>44</v>
      </c>
      <c r="B40" s="29" t="s">
        <v>43</v>
      </c>
      <c r="C40" s="30">
        <v>54955.863799999999</v>
      </c>
      <c r="D40" s="30">
        <v>4.0000000000000002E-4</v>
      </c>
      <c r="E40" s="33">
        <f t="shared" si="1"/>
        <v>6451.5070339987333</v>
      </c>
      <c r="F40" s="33">
        <f t="shared" si="2"/>
        <v>6451.5</v>
      </c>
      <c r="G40" s="33">
        <f t="shared" si="3"/>
        <v>2.6775500009534881E-3</v>
      </c>
      <c r="I40" s="33">
        <f t="shared" si="6"/>
        <v>2.6775500009534881E-3</v>
      </c>
      <c r="O40" s="33">
        <f t="shared" ca="1" si="7"/>
        <v>1.7040154737154728E-3</v>
      </c>
      <c r="Q40" s="34">
        <f t="shared" si="5"/>
        <v>39937.363799999999</v>
      </c>
    </row>
    <row r="41" spans="1:17" x14ac:dyDescent="0.2">
      <c r="A41" s="31" t="s">
        <v>53</v>
      </c>
      <c r="B41" s="35" t="s">
        <v>43</v>
      </c>
      <c r="C41" s="31">
        <v>54968.426099999997</v>
      </c>
      <c r="D41" s="31">
        <v>2.9999999999999997E-4</v>
      </c>
      <c r="E41" s="33">
        <f t="shared" si="1"/>
        <v>6484.5085474295392</v>
      </c>
      <c r="F41" s="33">
        <f t="shared" si="2"/>
        <v>6484.5</v>
      </c>
      <c r="G41" s="33">
        <f t="shared" si="3"/>
        <v>3.2536500002606772E-3</v>
      </c>
      <c r="H41" s="33"/>
      <c r="I41" s="33">
        <f t="shared" si="6"/>
        <v>3.2536500002606772E-3</v>
      </c>
      <c r="J41" s="33"/>
      <c r="K41" s="33"/>
      <c r="L41" s="33"/>
      <c r="M41" s="33"/>
      <c r="N41" s="33"/>
      <c r="O41" s="33">
        <f t="shared" ca="1" si="7"/>
        <v>1.8036580023395275E-3</v>
      </c>
      <c r="P41" s="33"/>
      <c r="Q41" s="34">
        <f t="shared" si="5"/>
        <v>39949.926099999997</v>
      </c>
    </row>
    <row r="42" spans="1:17" s="33" customFormat="1" x14ac:dyDescent="0.2">
      <c r="A42" s="31" t="s">
        <v>48</v>
      </c>
      <c r="B42" s="35" t="s">
        <v>43</v>
      </c>
      <c r="C42" s="31">
        <v>55038.467499999999</v>
      </c>
      <c r="D42" s="31">
        <v>6.9999999999999999E-4</v>
      </c>
      <c r="E42" s="33">
        <f t="shared" si="1"/>
        <v>6668.5092640827734</v>
      </c>
      <c r="F42" s="33">
        <f t="shared" si="2"/>
        <v>6668.5</v>
      </c>
      <c r="G42" s="33">
        <f t="shared" si="3"/>
        <v>3.5264499965705909E-3</v>
      </c>
      <c r="I42" s="33">
        <f t="shared" si="6"/>
        <v>3.5264499965705909E-3</v>
      </c>
      <c r="O42" s="33">
        <f t="shared" ca="1" si="7"/>
        <v>2.3592405861827433E-3</v>
      </c>
      <c r="Q42" s="34">
        <f t="shared" si="5"/>
        <v>40019.967499999999</v>
      </c>
    </row>
    <row r="43" spans="1:17" x14ac:dyDescent="0.2">
      <c r="A43" s="31" t="s">
        <v>53</v>
      </c>
      <c r="B43" s="35" t="s">
        <v>43</v>
      </c>
      <c r="C43" s="31">
        <v>55067.397700000001</v>
      </c>
      <c r="D43" s="31">
        <v>2.0000000000000001E-4</v>
      </c>
      <c r="E43" s="33">
        <f t="shared" si="1"/>
        <v>6744.5097085759126</v>
      </c>
      <c r="F43" s="33">
        <f t="shared" si="2"/>
        <v>6744.5</v>
      </c>
      <c r="G43" s="33">
        <f t="shared" si="3"/>
        <v>3.695650004374329E-3</v>
      </c>
      <c r="H43" s="33"/>
      <c r="I43" s="33">
        <f t="shared" si="6"/>
        <v>3.695650004374329E-3</v>
      </c>
      <c r="J43" s="33"/>
      <c r="K43" s="33"/>
      <c r="L43" s="33"/>
      <c r="M43" s="33"/>
      <c r="N43" s="33"/>
      <c r="O43" s="33">
        <f t="shared" ca="1" si="7"/>
        <v>2.5887203490745081E-3</v>
      </c>
      <c r="P43" s="33"/>
      <c r="Q43" s="34">
        <f t="shared" si="5"/>
        <v>40048.897700000001</v>
      </c>
    </row>
    <row r="44" spans="1:17" s="33" customFormat="1" x14ac:dyDescent="0.2">
      <c r="A44" s="31" t="s">
        <v>49</v>
      </c>
      <c r="B44" s="35" t="s">
        <v>35</v>
      </c>
      <c r="C44" s="31">
        <v>55296.744299999998</v>
      </c>
      <c r="D44" s="31">
        <v>2.0000000000000001E-4</v>
      </c>
      <c r="E44" s="33">
        <f t="shared" si="1"/>
        <v>7347.0096409299349</v>
      </c>
      <c r="F44" s="33">
        <f t="shared" si="2"/>
        <v>7347</v>
      </c>
      <c r="G44" s="33">
        <f t="shared" si="3"/>
        <v>3.6698999974760227E-3</v>
      </c>
      <c r="I44" s="33">
        <f t="shared" si="6"/>
        <v>3.6698999974760227E-3</v>
      </c>
      <c r="O44" s="33">
        <f t="shared" ca="1" si="7"/>
        <v>4.4079513641046043E-3</v>
      </c>
      <c r="Q44" s="34">
        <f t="shared" si="5"/>
        <v>40278.244299999998</v>
      </c>
    </row>
    <row r="45" spans="1:17" x14ac:dyDescent="0.2">
      <c r="A45" s="31" t="s">
        <v>54</v>
      </c>
      <c r="B45" s="35" t="s">
        <v>43</v>
      </c>
      <c r="C45" s="31">
        <v>55660.845699999998</v>
      </c>
      <c r="D45" s="31">
        <v>6.9999999999999999E-4</v>
      </c>
      <c r="E45" s="33">
        <f t="shared" si="1"/>
        <v>8303.5142015818346</v>
      </c>
      <c r="F45" s="33">
        <f t="shared" si="2"/>
        <v>8303.5</v>
      </c>
      <c r="G45" s="33">
        <f t="shared" si="3"/>
        <v>5.4059499962022528E-3</v>
      </c>
      <c r="H45" s="33"/>
      <c r="I45" s="33">
        <f t="shared" si="6"/>
        <v>5.4059499962022528E-3</v>
      </c>
      <c r="J45" s="33"/>
      <c r="K45" s="33"/>
      <c r="L45" s="33"/>
      <c r="M45" s="33"/>
      <c r="N45" s="33"/>
      <c r="O45" s="33">
        <f t="shared" ca="1" si="7"/>
        <v>7.2960749589200229E-3</v>
      </c>
      <c r="P45" s="33"/>
      <c r="Q45" s="34">
        <f t="shared" si="5"/>
        <v>40642.345699999998</v>
      </c>
    </row>
    <row r="46" spans="1:17" x14ac:dyDescent="0.2">
      <c r="A46" s="30" t="s">
        <v>57</v>
      </c>
      <c r="B46" s="29" t="s">
        <v>43</v>
      </c>
      <c r="C46" s="30">
        <v>56038.845999999998</v>
      </c>
      <c r="D46" s="30">
        <v>2.9999999999999997E-4</v>
      </c>
      <c r="E46" s="33">
        <f t="shared" si="1"/>
        <v>9296.5315612453433</v>
      </c>
      <c r="F46" s="33">
        <f t="shared" si="2"/>
        <v>9296.5</v>
      </c>
      <c r="G46" s="33">
        <f t="shared" si="3"/>
        <v>1.2014050000288989E-2</v>
      </c>
      <c r="H46" s="33"/>
      <c r="I46" s="33">
        <f t="shared" si="6"/>
        <v>1.2014050000288989E-2</v>
      </c>
      <c r="J46" s="33"/>
      <c r="K46" s="33"/>
      <c r="L46" s="33"/>
      <c r="M46" s="33"/>
      <c r="N46" s="33"/>
      <c r="O46" s="33">
        <f t="shared" ca="1" si="7"/>
        <v>1.0294409229334774E-2</v>
      </c>
      <c r="P46" s="33"/>
      <c r="Q46" s="34">
        <f t="shared" si="5"/>
        <v>41020.345999999998</v>
      </c>
    </row>
    <row r="47" spans="1:17" x14ac:dyDescent="0.2">
      <c r="A47" s="36" t="s">
        <v>61</v>
      </c>
      <c r="B47" s="33"/>
      <c r="C47" s="30">
        <v>56390.765599999999</v>
      </c>
      <c r="D47" s="30">
        <v>2.9999999999999997E-4</v>
      </c>
      <c r="E47" s="33">
        <f t="shared" si="1"/>
        <v>10221.034192607911</v>
      </c>
      <c r="F47" s="33">
        <f t="shared" si="2"/>
        <v>10221</v>
      </c>
      <c r="G47" s="33">
        <f t="shared" si="3"/>
        <v>1.3015700002142694E-2</v>
      </c>
      <c r="H47" s="33"/>
      <c r="J47" s="33">
        <f>+G47</f>
        <v>1.3015700002142694E-2</v>
      </c>
      <c r="K47" s="33"/>
      <c r="L47" s="33"/>
      <c r="M47" s="33"/>
      <c r="N47" s="33"/>
      <c r="O47" s="33">
        <f t="shared" ca="1" si="7"/>
        <v>1.30859097660905E-2</v>
      </c>
      <c r="P47" s="33"/>
      <c r="Q47" s="34">
        <f t="shared" si="5"/>
        <v>41372.265599999999</v>
      </c>
    </row>
    <row r="48" spans="1:17" x14ac:dyDescent="0.2">
      <c r="A48" s="39" t="s">
        <v>61</v>
      </c>
      <c r="B48" s="38" t="s">
        <v>35</v>
      </c>
      <c r="C48" s="39">
        <v>56390.765599999999</v>
      </c>
      <c r="D48" s="39">
        <v>2.9999999999999997E-4</v>
      </c>
      <c r="E48" s="44">
        <f t="shared" si="1"/>
        <v>10221.034192607911</v>
      </c>
      <c r="F48" s="33">
        <f t="shared" si="2"/>
        <v>10221</v>
      </c>
      <c r="G48" s="33">
        <f t="shared" si="3"/>
        <v>1.3015700002142694E-2</v>
      </c>
      <c r="H48" s="33"/>
      <c r="I48" s="33">
        <f>+G48</f>
        <v>1.3015700002142694E-2</v>
      </c>
      <c r="J48" s="33"/>
      <c r="K48" s="33"/>
      <c r="L48" s="33"/>
      <c r="M48" s="33"/>
      <c r="N48" s="33"/>
      <c r="O48" s="33">
        <f t="shared" ca="1" si="7"/>
        <v>1.30859097660905E-2</v>
      </c>
      <c r="P48" s="33"/>
      <c r="Q48" s="34">
        <f t="shared" si="5"/>
        <v>41372.265599999999</v>
      </c>
    </row>
    <row r="49" spans="1:17" x14ac:dyDescent="0.2">
      <c r="A49" s="37" t="s">
        <v>59</v>
      </c>
      <c r="B49" s="38" t="s">
        <v>35</v>
      </c>
      <c r="C49" s="39">
        <v>56409.41128</v>
      </c>
      <c r="D49" s="39">
        <v>2.9999999999999997E-4</v>
      </c>
      <c r="E49" s="33">
        <f t="shared" si="1"/>
        <v>10270.016915433083</v>
      </c>
      <c r="F49" s="33">
        <f t="shared" si="2"/>
        <v>10270</v>
      </c>
      <c r="G49" s="33">
        <f t="shared" si="3"/>
        <v>6.4390000043204054E-3</v>
      </c>
      <c r="H49" s="33"/>
      <c r="K49" s="33">
        <f t="shared" ref="K49:K54" si="8">+G49</f>
        <v>6.4390000043204054E-3</v>
      </c>
      <c r="L49" s="33"/>
      <c r="M49" s="33"/>
      <c r="N49" s="33"/>
      <c r="O49" s="33">
        <f t="shared" ca="1" si="7"/>
        <v>1.3233863823744401E-2</v>
      </c>
      <c r="P49" s="33"/>
      <c r="Q49" s="34">
        <f t="shared" si="5"/>
        <v>41390.91128</v>
      </c>
    </row>
    <row r="50" spans="1:17" x14ac:dyDescent="0.2">
      <c r="A50" s="37" t="s">
        <v>59</v>
      </c>
      <c r="B50" s="38" t="s">
        <v>35</v>
      </c>
      <c r="C50" s="39">
        <v>56409.412060000002</v>
      </c>
      <c r="D50" s="39">
        <v>2.0000000000000001E-4</v>
      </c>
      <c r="E50" s="33">
        <f t="shared" si="1"/>
        <v>10270.018964514902</v>
      </c>
      <c r="F50" s="33">
        <f t="shared" si="2"/>
        <v>10270</v>
      </c>
      <c r="G50" s="33">
        <f t="shared" si="3"/>
        <v>7.2190000064438209E-3</v>
      </c>
      <c r="H50" s="33"/>
      <c r="K50" s="33">
        <f t="shared" si="8"/>
        <v>7.2190000064438209E-3</v>
      </c>
      <c r="L50" s="33"/>
      <c r="M50" s="33"/>
      <c r="N50" s="33"/>
      <c r="O50" s="33">
        <f t="shared" ca="1" si="7"/>
        <v>1.3233863823744401E-2</v>
      </c>
      <c r="P50" s="33"/>
      <c r="Q50" s="34">
        <f t="shared" si="5"/>
        <v>41390.912060000002</v>
      </c>
    </row>
    <row r="51" spans="1:17" x14ac:dyDescent="0.2">
      <c r="A51" s="37" t="s">
        <v>59</v>
      </c>
      <c r="B51" s="38" t="s">
        <v>35</v>
      </c>
      <c r="C51" s="39">
        <v>56409.412420000001</v>
      </c>
      <c r="D51" s="39">
        <v>2.0000000000000001E-4</v>
      </c>
      <c r="E51" s="44">
        <f t="shared" si="1"/>
        <v>10270.019910244966</v>
      </c>
      <c r="F51" s="33">
        <f t="shared" si="2"/>
        <v>10270</v>
      </c>
      <c r="G51" s="33">
        <f t="shared" si="3"/>
        <v>7.5790000046254136E-3</v>
      </c>
      <c r="H51" s="33"/>
      <c r="K51" s="33">
        <f t="shared" si="8"/>
        <v>7.5790000046254136E-3</v>
      </c>
      <c r="L51" s="33"/>
      <c r="M51" s="33"/>
      <c r="N51" s="33"/>
      <c r="O51" s="33">
        <f t="shared" ca="1" si="7"/>
        <v>1.3233863823744401E-2</v>
      </c>
      <c r="P51" s="33"/>
      <c r="Q51" s="34">
        <f t="shared" si="5"/>
        <v>41390.912420000001</v>
      </c>
    </row>
    <row r="52" spans="1:17" x14ac:dyDescent="0.2">
      <c r="A52" s="42" t="s">
        <v>65</v>
      </c>
      <c r="B52" s="43"/>
      <c r="C52" s="42">
        <v>56409.417930000003</v>
      </c>
      <c r="D52" s="42">
        <v>2.7E-4</v>
      </c>
      <c r="E52" s="44">
        <f t="shared" si="1"/>
        <v>10270.034385169072</v>
      </c>
      <c r="F52" s="33">
        <f t="shared" si="2"/>
        <v>10270</v>
      </c>
      <c r="G52" s="33">
        <f t="shared" si="3"/>
        <v>1.3089000007312279E-2</v>
      </c>
      <c r="H52" s="33"/>
      <c r="J52" s="33"/>
      <c r="K52" s="33">
        <f t="shared" si="8"/>
        <v>1.3089000007312279E-2</v>
      </c>
      <c r="L52" s="33"/>
      <c r="M52" s="33"/>
      <c r="N52" s="33"/>
      <c r="O52" s="33">
        <f t="shared" ca="1" si="7"/>
        <v>1.3233863823744401E-2</v>
      </c>
      <c r="P52" s="33"/>
      <c r="Q52" s="34">
        <f t="shared" si="5"/>
        <v>41390.917930000003</v>
      </c>
    </row>
    <row r="53" spans="1:17" x14ac:dyDescent="0.2">
      <c r="A53" s="42" t="s">
        <v>65</v>
      </c>
      <c r="B53" s="43"/>
      <c r="C53" s="42">
        <v>56409.418709999998</v>
      </c>
      <c r="D53" s="42">
        <v>1.9000000000000001E-4</v>
      </c>
      <c r="E53" s="44">
        <f t="shared" si="1"/>
        <v>10270.036434250873</v>
      </c>
      <c r="F53" s="33">
        <f t="shared" si="2"/>
        <v>10270</v>
      </c>
      <c r="G53" s="33">
        <f t="shared" si="3"/>
        <v>1.3869000002159737E-2</v>
      </c>
      <c r="H53" s="33"/>
      <c r="J53" s="33"/>
      <c r="K53" s="33">
        <f t="shared" si="8"/>
        <v>1.3869000002159737E-2</v>
      </c>
      <c r="L53" s="33"/>
      <c r="M53" s="33"/>
      <c r="N53" s="33"/>
      <c r="O53" s="33">
        <f t="shared" ca="1" si="7"/>
        <v>1.3233863823744401E-2</v>
      </c>
      <c r="P53" s="33"/>
      <c r="Q53" s="34">
        <f t="shared" si="5"/>
        <v>41390.918709999998</v>
      </c>
    </row>
    <row r="54" spans="1:17" x14ac:dyDescent="0.2">
      <c r="A54" s="42" t="s">
        <v>65</v>
      </c>
      <c r="B54" s="43"/>
      <c r="C54" s="42">
        <v>56409.419070000004</v>
      </c>
      <c r="D54" s="42">
        <v>2.1000000000000001E-4</v>
      </c>
      <c r="E54" s="44">
        <f t="shared" si="1"/>
        <v>10270.037379980955</v>
      </c>
      <c r="F54" s="33">
        <f t="shared" si="2"/>
        <v>10270</v>
      </c>
      <c r="G54" s="33">
        <f t="shared" si="3"/>
        <v>1.4229000007617287E-2</v>
      </c>
      <c r="H54" s="33"/>
      <c r="J54" s="33"/>
      <c r="K54" s="33">
        <f t="shared" si="8"/>
        <v>1.4229000007617287E-2</v>
      </c>
      <c r="L54" s="33"/>
      <c r="M54" s="33"/>
      <c r="N54" s="33"/>
      <c r="O54" s="33">
        <f t="shared" ca="1" si="7"/>
        <v>1.3233863823744401E-2</v>
      </c>
      <c r="P54" s="33"/>
      <c r="Q54" s="34">
        <f t="shared" si="5"/>
        <v>41390.919070000004</v>
      </c>
    </row>
    <row r="55" spans="1:17" x14ac:dyDescent="0.2">
      <c r="A55" s="45" t="s">
        <v>62</v>
      </c>
      <c r="B55" s="46" t="s">
        <v>63</v>
      </c>
      <c r="C55" s="47">
        <v>56446.342799999999</v>
      </c>
      <c r="D55" s="47">
        <v>4.0000000000000002E-4</v>
      </c>
      <c r="E55" s="44">
        <f t="shared" si="1"/>
        <v>10367.037051339743</v>
      </c>
      <c r="F55" s="33">
        <f t="shared" si="2"/>
        <v>10367</v>
      </c>
      <c r="G55" s="33">
        <f t="shared" si="3"/>
        <v>1.4103900000918657E-2</v>
      </c>
      <c r="H55" s="33"/>
      <c r="I55" s="33">
        <f>+G55</f>
        <v>1.4103900000918657E-2</v>
      </c>
      <c r="J55" s="33"/>
      <c r="K55" s="33"/>
      <c r="L55" s="33"/>
      <c r="M55" s="33"/>
      <c r="N55" s="33"/>
      <c r="O55" s="33">
        <f t="shared" ca="1" si="7"/>
        <v>1.3526752468487835E-2</v>
      </c>
      <c r="P55" s="33"/>
      <c r="Q55" s="34">
        <f t="shared" si="5"/>
        <v>41427.842799999999</v>
      </c>
    </row>
    <row r="56" spans="1:17" x14ac:dyDescent="0.2">
      <c r="A56" s="41" t="s">
        <v>64</v>
      </c>
      <c r="B56" s="40" t="s">
        <v>35</v>
      </c>
      <c r="C56" s="41">
        <v>56764.5789</v>
      </c>
      <c r="D56" s="41">
        <v>2.9999999999999997E-4</v>
      </c>
      <c r="E56" s="44">
        <f t="shared" si="1"/>
        <v>11203.052186173272</v>
      </c>
      <c r="F56" s="33">
        <f t="shared" si="2"/>
        <v>11203</v>
      </c>
      <c r="G56" s="33">
        <f t="shared" si="3"/>
        <v>1.9865100002789404E-2</v>
      </c>
      <c r="H56" s="33"/>
      <c r="I56" s="33">
        <f>+G56</f>
        <v>1.9865100002789404E-2</v>
      </c>
      <c r="J56" s="33"/>
      <c r="K56" s="33"/>
      <c r="L56" s="33"/>
      <c r="M56" s="33"/>
      <c r="N56" s="33"/>
      <c r="O56" s="33">
        <f t="shared" ca="1" si="7"/>
        <v>1.6051029860297231E-2</v>
      </c>
      <c r="P56" s="33"/>
      <c r="Q56" s="34">
        <f t="shared" si="5"/>
        <v>41746.0789</v>
      </c>
    </row>
    <row r="57" spans="1:17" x14ac:dyDescent="0.2">
      <c r="A57" s="42" t="s">
        <v>66</v>
      </c>
      <c r="C57" s="9">
        <v>57441.9686</v>
      </c>
      <c r="D57" s="9">
        <v>2.0000000000000001E-4</v>
      </c>
      <c r="E57" s="33">
        <f t="shared" si="1"/>
        <v>12982.573872683193</v>
      </c>
      <c r="F57" s="33">
        <f t="shared" si="2"/>
        <v>12982.5</v>
      </c>
      <c r="G57" s="33">
        <f t="shared" si="3"/>
        <v>2.8120249997300562E-2</v>
      </c>
      <c r="H57" s="33"/>
      <c r="J57" s="33">
        <f>+G57</f>
        <v>2.8120249997300562E-2</v>
      </c>
      <c r="K57" s="33"/>
      <c r="L57" s="33"/>
      <c r="M57" s="33"/>
      <c r="N57" s="33"/>
      <c r="O57" s="33">
        <f t="shared" ca="1" si="7"/>
        <v>2.1424177729585298E-2</v>
      </c>
      <c r="P57" s="33"/>
      <c r="Q57" s="34">
        <f t="shared" si="5"/>
        <v>42423.4686</v>
      </c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A41" sqref="A41:D4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62" t="s">
        <v>78</v>
      </c>
      <c r="I1" s="63" t="s">
        <v>79</v>
      </c>
      <c r="J1" s="64" t="s">
        <v>74</v>
      </c>
    </row>
    <row r="2" spans="1:16" x14ac:dyDescent="0.2">
      <c r="I2" s="65" t="s">
        <v>80</v>
      </c>
      <c r="J2" s="66" t="s">
        <v>73</v>
      </c>
    </row>
    <row r="3" spans="1:16" x14ac:dyDescent="0.2">
      <c r="A3" s="67" t="s">
        <v>81</v>
      </c>
      <c r="I3" s="65" t="s">
        <v>82</v>
      </c>
      <c r="J3" s="66" t="s">
        <v>71</v>
      </c>
    </row>
    <row r="4" spans="1:16" x14ac:dyDescent="0.2">
      <c r="I4" s="65" t="s">
        <v>83</v>
      </c>
      <c r="J4" s="66" t="s">
        <v>71</v>
      </c>
    </row>
    <row r="5" spans="1:16" ht="13.5" thickBot="1" x14ac:dyDescent="0.25">
      <c r="I5" s="68" t="s">
        <v>84</v>
      </c>
      <c r="J5" s="69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5" si="0">P11</f>
        <v>IBVS 5295 </v>
      </c>
      <c r="B11" s="2" t="str">
        <f t="shared" ref="B11:B45" si="1">IF(H11=INT(H11),"I","II")</f>
        <v>I</v>
      </c>
      <c r="C11" s="9">
        <f t="shared" ref="C11:C45" si="2">1*G11</f>
        <v>51291.833899999998</v>
      </c>
      <c r="D11" s="11" t="str">
        <f t="shared" ref="D11:D45" si="3">VLOOKUP(F11,I$1:J$5,2,FALSE)</f>
        <v>vis</v>
      </c>
      <c r="E11" s="70">
        <f>VLOOKUP(C11,Active!C$21:E$972,3,FALSE)</f>
        <v>-3174.0019855077412</v>
      </c>
      <c r="F11" s="2" t="s">
        <v>84</v>
      </c>
      <c r="G11" s="11" t="str">
        <f t="shared" ref="G11:G45" si="4">MID(I11,3,LEN(I11)-3)</f>
        <v>51291.8339</v>
      </c>
      <c r="H11" s="9">
        <f t="shared" ref="H11:H45" si="5">1*K11</f>
        <v>-2936</v>
      </c>
      <c r="I11" s="71" t="s">
        <v>85</v>
      </c>
      <c r="J11" s="72" t="s">
        <v>86</v>
      </c>
      <c r="K11" s="71">
        <v>-2936</v>
      </c>
      <c r="L11" s="71" t="s">
        <v>87</v>
      </c>
      <c r="M11" s="72" t="s">
        <v>88</v>
      </c>
      <c r="N11" s="72" t="s">
        <v>89</v>
      </c>
      <c r="O11" s="73" t="s">
        <v>90</v>
      </c>
      <c r="P11" s="74" t="s">
        <v>91</v>
      </c>
    </row>
    <row r="12" spans="1:16" ht="12.75" customHeight="1" thickBot="1" x14ac:dyDescent="0.25">
      <c r="A12" s="9" t="str">
        <f t="shared" si="0"/>
        <v>IBVS 5295 </v>
      </c>
      <c r="B12" s="2" t="str">
        <f t="shared" si="1"/>
        <v>II</v>
      </c>
      <c r="C12" s="9">
        <f t="shared" si="2"/>
        <v>51305.731</v>
      </c>
      <c r="D12" s="11" t="str">
        <f t="shared" si="3"/>
        <v>vis</v>
      </c>
      <c r="E12" s="70">
        <f>VLOOKUP(C12,Active!C$21:E$972,3,FALSE)</f>
        <v>-3137.4939151464696</v>
      </c>
      <c r="F12" s="2" t="s">
        <v>84</v>
      </c>
      <c r="G12" s="11" t="str">
        <f t="shared" si="4"/>
        <v>51305.731</v>
      </c>
      <c r="H12" s="9">
        <f t="shared" si="5"/>
        <v>-2899.5</v>
      </c>
      <c r="I12" s="71" t="s">
        <v>92</v>
      </c>
      <c r="J12" s="72" t="s">
        <v>93</v>
      </c>
      <c r="K12" s="71">
        <v>-2899.5</v>
      </c>
      <c r="L12" s="71" t="s">
        <v>94</v>
      </c>
      <c r="M12" s="72" t="s">
        <v>88</v>
      </c>
      <c r="N12" s="72" t="s">
        <v>89</v>
      </c>
      <c r="O12" s="73" t="s">
        <v>90</v>
      </c>
      <c r="P12" s="74" t="s">
        <v>91</v>
      </c>
    </row>
    <row r="13" spans="1:16" ht="12.75" customHeight="1" thickBot="1" x14ac:dyDescent="0.25">
      <c r="A13" s="9" t="str">
        <f t="shared" si="0"/>
        <v>IBVS 5295 </v>
      </c>
      <c r="B13" s="2" t="str">
        <f t="shared" si="1"/>
        <v>II</v>
      </c>
      <c r="C13" s="9">
        <f t="shared" si="2"/>
        <v>52360.532099999997</v>
      </c>
      <c r="D13" s="11" t="str">
        <f t="shared" si="3"/>
        <v>vis</v>
      </c>
      <c r="E13" s="70">
        <f>VLOOKUP(C13,Active!C$21:E$972,3,FALSE)</f>
        <v>-366.50192574285768</v>
      </c>
      <c r="F13" s="2" t="s">
        <v>84</v>
      </c>
      <c r="G13" s="11" t="str">
        <f t="shared" si="4"/>
        <v>52360.5321</v>
      </c>
      <c r="H13" s="9">
        <f t="shared" si="5"/>
        <v>-128.5</v>
      </c>
      <c r="I13" s="71" t="s">
        <v>95</v>
      </c>
      <c r="J13" s="72" t="s">
        <v>96</v>
      </c>
      <c r="K13" s="71">
        <v>-128.5</v>
      </c>
      <c r="L13" s="71" t="s">
        <v>97</v>
      </c>
      <c r="M13" s="72" t="s">
        <v>88</v>
      </c>
      <c r="N13" s="72" t="s">
        <v>89</v>
      </c>
      <c r="O13" s="73" t="s">
        <v>90</v>
      </c>
      <c r="P13" s="74" t="s">
        <v>91</v>
      </c>
    </row>
    <row r="14" spans="1:16" ht="12.75" customHeight="1" thickBot="1" x14ac:dyDescent="0.25">
      <c r="A14" s="9" t="str">
        <f t="shared" si="0"/>
        <v>IBVS 5295 </v>
      </c>
      <c r="B14" s="2" t="str">
        <f t="shared" si="1"/>
        <v>II</v>
      </c>
      <c r="C14" s="9">
        <f t="shared" si="2"/>
        <v>52365.479200000002</v>
      </c>
      <c r="D14" s="11" t="str">
        <f t="shared" si="3"/>
        <v>vis</v>
      </c>
      <c r="E14" s="70">
        <f>VLOOKUP(C14,Active!C$21:E$972,3,FALSE)</f>
        <v>-353.50575568691812</v>
      </c>
      <c r="F14" s="2" t="s">
        <v>84</v>
      </c>
      <c r="G14" s="11" t="str">
        <f t="shared" si="4"/>
        <v>52365.4792</v>
      </c>
      <c r="H14" s="9">
        <f t="shared" si="5"/>
        <v>-115.5</v>
      </c>
      <c r="I14" s="71" t="s">
        <v>98</v>
      </c>
      <c r="J14" s="72" t="s">
        <v>99</v>
      </c>
      <c r="K14" s="71">
        <v>-115.5</v>
      </c>
      <c r="L14" s="71" t="s">
        <v>100</v>
      </c>
      <c r="M14" s="72" t="s">
        <v>88</v>
      </c>
      <c r="N14" s="72" t="s">
        <v>89</v>
      </c>
      <c r="O14" s="73" t="s">
        <v>90</v>
      </c>
      <c r="P14" s="74" t="s">
        <v>91</v>
      </c>
    </row>
    <row r="15" spans="1:16" ht="12.75" customHeight="1" thickBot="1" x14ac:dyDescent="0.25">
      <c r="A15" s="9" t="str">
        <f t="shared" si="0"/>
        <v>IBVS 5295 </v>
      </c>
      <c r="B15" s="2" t="str">
        <f t="shared" si="1"/>
        <v>I</v>
      </c>
      <c r="C15" s="9">
        <f t="shared" si="2"/>
        <v>52368.341</v>
      </c>
      <c r="D15" s="11" t="str">
        <f t="shared" si="3"/>
        <v>vis</v>
      </c>
      <c r="E15" s="70">
        <f>VLOOKUP(C15,Active!C$21:E$972,3,FALSE)</f>
        <v>-345.98772705074026</v>
      </c>
      <c r="F15" s="2" t="s">
        <v>84</v>
      </c>
      <c r="G15" s="11" t="str">
        <f t="shared" si="4"/>
        <v>52368.341</v>
      </c>
      <c r="H15" s="9">
        <f t="shared" si="5"/>
        <v>-108</v>
      </c>
      <c r="I15" s="71" t="s">
        <v>101</v>
      </c>
      <c r="J15" s="72" t="s">
        <v>102</v>
      </c>
      <c r="K15" s="71">
        <v>-108</v>
      </c>
      <c r="L15" s="71" t="s">
        <v>103</v>
      </c>
      <c r="M15" s="72" t="s">
        <v>88</v>
      </c>
      <c r="N15" s="72" t="s">
        <v>89</v>
      </c>
      <c r="O15" s="73" t="s">
        <v>90</v>
      </c>
      <c r="P15" s="74" t="s">
        <v>91</v>
      </c>
    </row>
    <row r="16" spans="1:16" ht="12.75" customHeight="1" thickBot="1" x14ac:dyDescent="0.25">
      <c r="A16" s="9" t="str">
        <f t="shared" si="0"/>
        <v>IBVS 5295 </v>
      </c>
      <c r="B16" s="2" t="str">
        <f t="shared" si="1"/>
        <v>II</v>
      </c>
      <c r="C16" s="9">
        <f t="shared" si="2"/>
        <v>52368.527600000001</v>
      </c>
      <c r="D16" s="11" t="str">
        <f t="shared" si="3"/>
        <v>vis</v>
      </c>
      <c r="E16" s="70">
        <f>VLOOKUP(C16,Active!C$21:E$972,3,FALSE)</f>
        <v>-345.49752363208131</v>
      </c>
      <c r="F16" s="2" t="s">
        <v>84</v>
      </c>
      <c r="G16" s="11" t="str">
        <f t="shared" si="4"/>
        <v>52368.5276</v>
      </c>
      <c r="H16" s="9">
        <f t="shared" si="5"/>
        <v>-107.5</v>
      </c>
      <c r="I16" s="71" t="s">
        <v>104</v>
      </c>
      <c r="J16" s="72" t="s">
        <v>105</v>
      </c>
      <c r="K16" s="71">
        <v>-107.5</v>
      </c>
      <c r="L16" s="71" t="s">
        <v>106</v>
      </c>
      <c r="M16" s="72" t="s">
        <v>88</v>
      </c>
      <c r="N16" s="72" t="s">
        <v>89</v>
      </c>
      <c r="O16" s="73" t="s">
        <v>90</v>
      </c>
      <c r="P16" s="74" t="s">
        <v>91</v>
      </c>
    </row>
    <row r="17" spans="1:16" ht="12.75" customHeight="1" thickBot="1" x14ac:dyDescent="0.25">
      <c r="A17" s="9" t="str">
        <f t="shared" si="0"/>
        <v>IBVS 5295 </v>
      </c>
      <c r="B17" s="2" t="str">
        <f t="shared" si="1"/>
        <v>I</v>
      </c>
      <c r="C17" s="9">
        <f t="shared" si="2"/>
        <v>52395.363899999997</v>
      </c>
      <c r="D17" s="11" t="str">
        <f t="shared" si="3"/>
        <v>vis</v>
      </c>
      <c r="E17" s="70">
        <f>VLOOKUP(C17,Active!C$21:E$972,3,FALSE)</f>
        <v>-274.99781299922404</v>
      </c>
      <c r="F17" s="2" t="s">
        <v>84</v>
      </c>
      <c r="G17" s="11" t="str">
        <f t="shared" si="4"/>
        <v>52395.3639</v>
      </c>
      <c r="H17" s="9">
        <f t="shared" si="5"/>
        <v>-37</v>
      </c>
      <c r="I17" s="71" t="s">
        <v>107</v>
      </c>
      <c r="J17" s="72" t="s">
        <v>108</v>
      </c>
      <c r="K17" s="71">
        <v>-37</v>
      </c>
      <c r="L17" s="71" t="s">
        <v>109</v>
      </c>
      <c r="M17" s="72" t="s">
        <v>88</v>
      </c>
      <c r="N17" s="72" t="s">
        <v>89</v>
      </c>
      <c r="O17" s="73" t="s">
        <v>90</v>
      </c>
      <c r="P17" s="74" t="s">
        <v>91</v>
      </c>
    </row>
    <row r="18" spans="1:16" ht="12.75" customHeight="1" thickBot="1" x14ac:dyDescent="0.25">
      <c r="A18" s="9" t="str">
        <f t="shared" si="0"/>
        <v>IBVS 5295 </v>
      </c>
      <c r="B18" s="2" t="str">
        <f t="shared" si="1"/>
        <v>II</v>
      </c>
      <c r="C18" s="9">
        <f t="shared" si="2"/>
        <v>52395.552300000003</v>
      </c>
      <c r="D18" s="11" t="str">
        <f t="shared" si="3"/>
        <v>vis</v>
      </c>
      <c r="E18" s="70">
        <f>VLOOKUP(C18,Active!C$21:E$972,3,FALSE)</f>
        <v>-274.50288093020998</v>
      </c>
      <c r="F18" s="2" t="s">
        <v>84</v>
      </c>
      <c r="G18" s="11" t="str">
        <f t="shared" si="4"/>
        <v>52395.5523</v>
      </c>
      <c r="H18" s="9">
        <f t="shared" si="5"/>
        <v>-36.5</v>
      </c>
      <c r="I18" s="71" t="s">
        <v>110</v>
      </c>
      <c r="J18" s="72" t="s">
        <v>111</v>
      </c>
      <c r="K18" s="71">
        <v>-36.5</v>
      </c>
      <c r="L18" s="71" t="s">
        <v>112</v>
      </c>
      <c r="M18" s="72" t="s">
        <v>88</v>
      </c>
      <c r="N18" s="72" t="s">
        <v>89</v>
      </c>
      <c r="O18" s="73" t="s">
        <v>90</v>
      </c>
      <c r="P18" s="74" t="s">
        <v>91</v>
      </c>
    </row>
    <row r="19" spans="1:16" ht="12.75" customHeight="1" thickBot="1" x14ac:dyDescent="0.25">
      <c r="A19" s="9" t="str">
        <f t="shared" si="0"/>
        <v>IBVS 5295 </v>
      </c>
      <c r="B19" s="2" t="str">
        <f t="shared" si="1"/>
        <v>I</v>
      </c>
      <c r="C19" s="9">
        <f t="shared" si="2"/>
        <v>52409.445899999999</v>
      </c>
      <c r="D19" s="11" t="str">
        <f t="shared" si="3"/>
        <v>vis</v>
      </c>
      <c r="E19" s="70">
        <f>VLOOKUP(C19,Active!C$21:E$972,3,FALSE)</f>
        <v>-238.00400516683956</v>
      </c>
      <c r="F19" s="2" t="s">
        <v>84</v>
      </c>
      <c r="G19" s="11" t="str">
        <f t="shared" si="4"/>
        <v>52409.4459</v>
      </c>
      <c r="H19" s="9">
        <f t="shared" si="5"/>
        <v>0</v>
      </c>
      <c r="I19" s="71" t="s">
        <v>113</v>
      </c>
      <c r="J19" s="72" t="s">
        <v>114</v>
      </c>
      <c r="K19" s="71">
        <v>0</v>
      </c>
      <c r="L19" s="71" t="s">
        <v>115</v>
      </c>
      <c r="M19" s="72" t="s">
        <v>88</v>
      </c>
      <c r="N19" s="72" t="s">
        <v>89</v>
      </c>
      <c r="O19" s="73" t="s">
        <v>90</v>
      </c>
      <c r="P19" s="74" t="s">
        <v>91</v>
      </c>
    </row>
    <row r="20" spans="1:16" ht="12.75" customHeight="1" thickBot="1" x14ac:dyDescent="0.25">
      <c r="A20" s="9" t="str">
        <f t="shared" si="0"/>
        <v>IBVS 5295 </v>
      </c>
      <c r="B20" s="2" t="str">
        <f t="shared" si="1"/>
        <v>I</v>
      </c>
      <c r="C20" s="9">
        <f t="shared" si="2"/>
        <v>52415.535799999998</v>
      </c>
      <c r="D20" s="11" t="str">
        <f t="shared" si="3"/>
        <v>vis</v>
      </c>
      <c r="E20" s="70">
        <f>VLOOKUP(C20,Active!C$21:E$972,3,FALSE)</f>
        <v>-222.00566755013966</v>
      </c>
      <c r="F20" s="2" t="s">
        <v>84</v>
      </c>
      <c r="G20" s="11" t="str">
        <f t="shared" si="4"/>
        <v>52415.5358</v>
      </c>
      <c r="H20" s="9">
        <f t="shared" si="5"/>
        <v>16</v>
      </c>
      <c r="I20" s="71" t="s">
        <v>116</v>
      </c>
      <c r="J20" s="72" t="s">
        <v>117</v>
      </c>
      <c r="K20" s="71">
        <v>16</v>
      </c>
      <c r="L20" s="71" t="s">
        <v>118</v>
      </c>
      <c r="M20" s="72" t="s">
        <v>88</v>
      </c>
      <c r="N20" s="72" t="s">
        <v>89</v>
      </c>
      <c r="O20" s="73" t="s">
        <v>90</v>
      </c>
      <c r="P20" s="74" t="s">
        <v>91</v>
      </c>
    </row>
    <row r="21" spans="1:16" ht="12.75" customHeight="1" thickBot="1" x14ac:dyDescent="0.25">
      <c r="A21" s="9" t="str">
        <f t="shared" si="0"/>
        <v>IBVS 5543 </v>
      </c>
      <c r="B21" s="2" t="str">
        <f t="shared" si="1"/>
        <v>I</v>
      </c>
      <c r="C21" s="9">
        <f t="shared" si="2"/>
        <v>52835.403599999998</v>
      </c>
      <c r="D21" s="11" t="str">
        <f t="shared" si="3"/>
        <v>vis</v>
      </c>
      <c r="E21" s="70">
        <f>VLOOKUP(C21,Active!C$21:E$972,3,FALSE)</f>
        <v>880.99878552496727</v>
      </c>
      <c r="F21" s="2" t="s">
        <v>84</v>
      </c>
      <c r="G21" s="11" t="str">
        <f t="shared" si="4"/>
        <v>52835.4036</v>
      </c>
      <c r="H21" s="9">
        <f t="shared" si="5"/>
        <v>1119</v>
      </c>
      <c r="I21" s="71" t="s">
        <v>119</v>
      </c>
      <c r="J21" s="72" t="s">
        <v>120</v>
      </c>
      <c r="K21" s="71">
        <v>1119</v>
      </c>
      <c r="L21" s="71" t="s">
        <v>121</v>
      </c>
      <c r="M21" s="72" t="s">
        <v>88</v>
      </c>
      <c r="N21" s="72" t="s">
        <v>122</v>
      </c>
      <c r="O21" s="73" t="s">
        <v>123</v>
      </c>
      <c r="P21" s="74" t="s">
        <v>124</v>
      </c>
    </row>
    <row r="22" spans="1:16" ht="12.75" customHeight="1" thickBot="1" x14ac:dyDescent="0.25">
      <c r="A22" s="9" t="str">
        <f t="shared" si="0"/>
        <v>IBVS 5653 </v>
      </c>
      <c r="B22" s="2" t="str">
        <f t="shared" si="1"/>
        <v>I</v>
      </c>
      <c r="C22" s="9">
        <f t="shared" si="2"/>
        <v>53216.440900000001</v>
      </c>
      <c r="D22" s="11" t="str">
        <f t="shared" si="3"/>
        <v>vis</v>
      </c>
      <c r="E22" s="70">
        <f>VLOOKUP(C22,Active!C$21:E$972,3,FALSE)</f>
        <v>1881.994429124499</v>
      </c>
      <c r="F22" s="2" t="s">
        <v>84</v>
      </c>
      <c r="G22" s="11" t="str">
        <f t="shared" si="4"/>
        <v>53216.4409</v>
      </c>
      <c r="H22" s="9">
        <f t="shared" si="5"/>
        <v>2120</v>
      </c>
      <c r="I22" s="71" t="s">
        <v>125</v>
      </c>
      <c r="J22" s="72" t="s">
        <v>126</v>
      </c>
      <c r="K22" s="71">
        <v>2120</v>
      </c>
      <c r="L22" s="71" t="s">
        <v>115</v>
      </c>
      <c r="M22" s="72" t="s">
        <v>88</v>
      </c>
      <c r="N22" s="72" t="s">
        <v>122</v>
      </c>
      <c r="O22" s="73" t="s">
        <v>123</v>
      </c>
      <c r="P22" s="74" t="s">
        <v>127</v>
      </c>
    </row>
    <row r="23" spans="1:16" ht="12.75" customHeight="1" thickBot="1" x14ac:dyDescent="0.25">
      <c r="A23" s="9" t="str">
        <f t="shared" si="0"/>
        <v>IBVS 5653 </v>
      </c>
      <c r="B23" s="2" t="str">
        <f t="shared" si="1"/>
        <v>I</v>
      </c>
      <c r="C23" s="9">
        <f t="shared" si="2"/>
        <v>53541.523500000003</v>
      </c>
      <c r="D23" s="11" t="str">
        <f t="shared" si="3"/>
        <v>vis</v>
      </c>
      <c r="E23" s="70">
        <f>VLOOKUP(C23,Active!C$21:E$972,3,FALSE)</f>
        <v>2735.9955109346197</v>
      </c>
      <c r="F23" s="2" t="s">
        <v>84</v>
      </c>
      <c r="G23" s="11" t="str">
        <f t="shared" si="4"/>
        <v>53541.5235</v>
      </c>
      <c r="H23" s="9">
        <f t="shared" si="5"/>
        <v>2974</v>
      </c>
      <c r="I23" s="71" t="s">
        <v>128</v>
      </c>
      <c r="J23" s="72" t="s">
        <v>129</v>
      </c>
      <c r="K23" s="71">
        <v>2974</v>
      </c>
      <c r="L23" s="71" t="s">
        <v>130</v>
      </c>
      <c r="M23" s="72" t="s">
        <v>88</v>
      </c>
      <c r="N23" s="72" t="s">
        <v>122</v>
      </c>
      <c r="O23" s="73" t="s">
        <v>123</v>
      </c>
      <c r="P23" s="74" t="s">
        <v>127</v>
      </c>
    </row>
    <row r="24" spans="1:16" ht="12.75" customHeight="1" thickBot="1" x14ac:dyDescent="0.25">
      <c r="A24" s="9" t="str">
        <f t="shared" si="0"/>
        <v>IBVS 5713 </v>
      </c>
      <c r="B24" s="2" t="str">
        <f t="shared" si="1"/>
        <v>II</v>
      </c>
      <c r="C24" s="9">
        <f t="shared" si="2"/>
        <v>53917.4231</v>
      </c>
      <c r="D24" s="11" t="str">
        <f t="shared" si="3"/>
        <v>vis</v>
      </c>
      <c r="E24" s="70">
        <f>VLOOKUP(C24,Active!C$21:E$972,3,FALSE)</f>
        <v>3723.4942729476825</v>
      </c>
      <c r="F24" s="2" t="s">
        <v>84</v>
      </c>
      <c r="G24" s="11" t="str">
        <f t="shared" si="4"/>
        <v>53917.4231</v>
      </c>
      <c r="H24" s="9">
        <f t="shared" si="5"/>
        <v>3961.5</v>
      </c>
      <c r="I24" s="71" t="s">
        <v>131</v>
      </c>
      <c r="J24" s="72" t="s">
        <v>132</v>
      </c>
      <c r="K24" s="71">
        <v>3961.5</v>
      </c>
      <c r="L24" s="71" t="s">
        <v>133</v>
      </c>
      <c r="M24" s="72" t="s">
        <v>88</v>
      </c>
      <c r="N24" s="72" t="s">
        <v>134</v>
      </c>
      <c r="O24" s="73" t="s">
        <v>123</v>
      </c>
      <c r="P24" s="74" t="s">
        <v>135</v>
      </c>
    </row>
    <row r="25" spans="1:16" ht="12.75" customHeight="1" thickBot="1" x14ac:dyDescent="0.25">
      <c r="A25" s="9" t="str">
        <f t="shared" si="0"/>
        <v>IBVS 5781 </v>
      </c>
      <c r="B25" s="2" t="str">
        <f t="shared" si="1"/>
        <v>I</v>
      </c>
      <c r="C25" s="9">
        <f t="shared" si="2"/>
        <v>54197.402199999997</v>
      </c>
      <c r="D25" s="11" t="str">
        <f t="shared" si="3"/>
        <v>vis</v>
      </c>
      <c r="E25" s="70">
        <f>VLOOKUP(C25,Active!C$21:E$972,3,FALSE)</f>
        <v>4459.0071988447316</v>
      </c>
      <c r="F25" s="2" t="s">
        <v>84</v>
      </c>
      <c r="G25" s="11" t="str">
        <f t="shared" si="4"/>
        <v>54197.4022</v>
      </c>
      <c r="H25" s="9">
        <f t="shared" si="5"/>
        <v>4697</v>
      </c>
      <c r="I25" s="71" t="s">
        <v>136</v>
      </c>
      <c r="J25" s="72" t="s">
        <v>137</v>
      </c>
      <c r="K25" s="71">
        <v>4697</v>
      </c>
      <c r="L25" s="71" t="s">
        <v>138</v>
      </c>
      <c r="M25" s="72" t="s">
        <v>88</v>
      </c>
      <c r="N25" s="72" t="s">
        <v>79</v>
      </c>
      <c r="O25" s="73" t="s">
        <v>123</v>
      </c>
      <c r="P25" s="74" t="s">
        <v>139</v>
      </c>
    </row>
    <row r="26" spans="1:16" ht="12.75" customHeight="1" thickBot="1" x14ac:dyDescent="0.25">
      <c r="A26" s="9" t="str">
        <f t="shared" si="0"/>
        <v>IBVS 5871 </v>
      </c>
      <c r="B26" s="2" t="str">
        <f t="shared" si="1"/>
        <v>II</v>
      </c>
      <c r="C26" s="9">
        <f t="shared" si="2"/>
        <v>54684.452799999999</v>
      </c>
      <c r="D26" s="11" t="str">
        <f t="shared" si="3"/>
        <v>vis</v>
      </c>
      <c r="E26" s="70">
        <f>VLOOKUP(C26,Active!C$21:E$972,3,FALSE)</f>
        <v>5738.5027464263876</v>
      </c>
      <c r="F26" s="2" t="s">
        <v>84</v>
      </c>
      <c r="G26" s="11" t="str">
        <f t="shared" si="4"/>
        <v>54684.4528</v>
      </c>
      <c r="H26" s="9">
        <f t="shared" si="5"/>
        <v>5976.5</v>
      </c>
      <c r="I26" s="71" t="s">
        <v>145</v>
      </c>
      <c r="J26" s="72" t="s">
        <v>146</v>
      </c>
      <c r="K26" s="71">
        <v>5976.5</v>
      </c>
      <c r="L26" s="71" t="s">
        <v>147</v>
      </c>
      <c r="M26" s="72" t="s">
        <v>88</v>
      </c>
      <c r="N26" s="72" t="s">
        <v>79</v>
      </c>
      <c r="O26" s="73" t="s">
        <v>123</v>
      </c>
      <c r="P26" s="74" t="s">
        <v>148</v>
      </c>
    </row>
    <row r="27" spans="1:16" ht="12.75" customHeight="1" thickBot="1" x14ac:dyDescent="0.25">
      <c r="A27" s="9" t="str">
        <f t="shared" si="0"/>
        <v>BAVM 209 </v>
      </c>
      <c r="B27" s="2" t="str">
        <f t="shared" si="1"/>
        <v>I</v>
      </c>
      <c r="C27" s="9">
        <f t="shared" si="2"/>
        <v>54932.453500000003</v>
      </c>
      <c r="D27" s="11" t="str">
        <f t="shared" si="3"/>
        <v>vis</v>
      </c>
      <c r="E27" s="70">
        <f>VLOOKUP(C27,Active!C$21:E$972,3,FALSE)</f>
        <v>6390.0075211810808</v>
      </c>
      <c r="F27" s="2" t="s">
        <v>84</v>
      </c>
      <c r="G27" s="11" t="str">
        <f t="shared" si="4"/>
        <v>54932.4535</v>
      </c>
      <c r="H27" s="9">
        <f t="shared" si="5"/>
        <v>6628</v>
      </c>
      <c r="I27" s="71" t="s">
        <v>149</v>
      </c>
      <c r="J27" s="72" t="s">
        <v>150</v>
      </c>
      <c r="K27" s="71">
        <v>6628</v>
      </c>
      <c r="L27" s="71" t="s">
        <v>151</v>
      </c>
      <c r="M27" s="72" t="s">
        <v>88</v>
      </c>
      <c r="N27" s="72" t="s">
        <v>152</v>
      </c>
      <c r="O27" s="73" t="s">
        <v>153</v>
      </c>
      <c r="P27" s="74" t="s">
        <v>154</v>
      </c>
    </row>
    <row r="28" spans="1:16" ht="12.75" customHeight="1" thickBot="1" x14ac:dyDescent="0.25">
      <c r="A28" s="9" t="str">
        <f t="shared" si="0"/>
        <v>IBVS 5929 </v>
      </c>
      <c r="B28" s="2" t="str">
        <f t="shared" si="1"/>
        <v>I</v>
      </c>
      <c r="C28" s="9">
        <f t="shared" si="2"/>
        <v>54945.7762</v>
      </c>
      <c r="D28" s="11" t="str">
        <f t="shared" si="3"/>
        <v>vis</v>
      </c>
      <c r="E28" s="70">
        <f>VLOOKUP(C28,Active!C$21:E$972,3,FALSE)</f>
        <v>6425.0066266780495</v>
      </c>
      <c r="F28" s="2" t="s">
        <v>84</v>
      </c>
      <c r="G28" s="11" t="str">
        <f t="shared" si="4"/>
        <v>54945.7762</v>
      </c>
      <c r="H28" s="9">
        <f t="shared" si="5"/>
        <v>6663</v>
      </c>
      <c r="I28" s="71" t="s">
        <v>155</v>
      </c>
      <c r="J28" s="72" t="s">
        <v>156</v>
      </c>
      <c r="K28" s="71" t="s">
        <v>157</v>
      </c>
      <c r="L28" s="71" t="s">
        <v>158</v>
      </c>
      <c r="M28" s="72" t="s">
        <v>88</v>
      </c>
      <c r="N28" s="72" t="s">
        <v>134</v>
      </c>
      <c r="O28" s="73" t="s">
        <v>159</v>
      </c>
      <c r="P28" s="74" t="s">
        <v>160</v>
      </c>
    </row>
    <row r="29" spans="1:16" ht="12.75" customHeight="1" thickBot="1" x14ac:dyDescent="0.25">
      <c r="A29" s="9" t="str">
        <f t="shared" si="0"/>
        <v>IBVS 5894 </v>
      </c>
      <c r="B29" s="2" t="str">
        <f t="shared" si="1"/>
        <v>II</v>
      </c>
      <c r="C29" s="9">
        <f t="shared" si="2"/>
        <v>54955.863799999999</v>
      </c>
      <c r="D29" s="11" t="str">
        <f t="shared" si="3"/>
        <v>vis</v>
      </c>
      <c r="E29" s="70">
        <f>VLOOKUP(C29,Active!C$21:E$972,3,FALSE)</f>
        <v>6451.5070339987333</v>
      </c>
      <c r="F29" s="2" t="s">
        <v>84</v>
      </c>
      <c r="G29" s="11" t="str">
        <f t="shared" si="4"/>
        <v>54955.8638</v>
      </c>
      <c r="H29" s="9">
        <f t="shared" si="5"/>
        <v>6689.5</v>
      </c>
      <c r="I29" s="71" t="s">
        <v>161</v>
      </c>
      <c r="J29" s="72" t="s">
        <v>162</v>
      </c>
      <c r="K29" s="71" t="s">
        <v>163</v>
      </c>
      <c r="L29" s="71" t="s">
        <v>164</v>
      </c>
      <c r="M29" s="72" t="s">
        <v>88</v>
      </c>
      <c r="N29" s="72" t="s">
        <v>84</v>
      </c>
      <c r="O29" s="73" t="s">
        <v>165</v>
      </c>
      <c r="P29" s="74" t="s">
        <v>166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II</v>
      </c>
      <c r="C30" s="9">
        <f t="shared" si="2"/>
        <v>54968.426099999997</v>
      </c>
      <c r="D30" s="11" t="str">
        <f t="shared" si="3"/>
        <v>vis</v>
      </c>
      <c r="E30" s="70">
        <f>VLOOKUP(C30,Active!C$21:E$972,3,FALSE)</f>
        <v>6484.5085474295392</v>
      </c>
      <c r="F30" s="2" t="s">
        <v>84</v>
      </c>
      <c r="G30" s="11" t="str">
        <f t="shared" si="4"/>
        <v>54968.4261</v>
      </c>
      <c r="H30" s="9">
        <f t="shared" si="5"/>
        <v>6722.5</v>
      </c>
      <c r="I30" s="71" t="s">
        <v>167</v>
      </c>
      <c r="J30" s="72" t="s">
        <v>168</v>
      </c>
      <c r="K30" s="71" t="s">
        <v>169</v>
      </c>
      <c r="L30" s="71" t="s">
        <v>170</v>
      </c>
      <c r="M30" s="72" t="s">
        <v>88</v>
      </c>
      <c r="N30" s="72" t="s">
        <v>171</v>
      </c>
      <c r="O30" s="73" t="s">
        <v>172</v>
      </c>
      <c r="P30" s="74" t="s">
        <v>173</v>
      </c>
    </row>
    <row r="31" spans="1:16" ht="12.75" customHeight="1" thickBot="1" x14ac:dyDescent="0.25">
      <c r="A31" s="9" t="str">
        <f t="shared" si="0"/>
        <v>IBVS 5920 </v>
      </c>
      <c r="B31" s="2" t="str">
        <f t="shared" si="1"/>
        <v>II</v>
      </c>
      <c r="C31" s="9">
        <f t="shared" si="2"/>
        <v>55038.467499999999</v>
      </c>
      <c r="D31" s="11" t="str">
        <f t="shared" si="3"/>
        <v>vis</v>
      </c>
      <c r="E31" s="70">
        <f>VLOOKUP(C31,Active!C$21:E$972,3,FALSE)</f>
        <v>6668.5092640827734</v>
      </c>
      <c r="F31" s="2" t="s">
        <v>84</v>
      </c>
      <c r="G31" s="11" t="str">
        <f t="shared" si="4"/>
        <v>55038.4675</v>
      </c>
      <c r="H31" s="9">
        <f t="shared" si="5"/>
        <v>6906.5</v>
      </c>
      <c r="I31" s="71" t="s">
        <v>174</v>
      </c>
      <c r="J31" s="72" t="s">
        <v>175</v>
      </c>
      <c r="K31" s="71" t="s">
        <v>176</v>
      </c>
      <c r="L31" s="71" t="s">
        <v>177</v>
      </c>
      <c r="M31" s="72" t="s">
        <v>88</v>
      </c>
      <c r="N31" s="72" t="s">
        <v>79</v>
      </c>
      <c r="O31" s="73" t="s">
        <v>123</v>
      </c>
      <c r="P31" s="74" t="s">
        <v>178</v>
      </c>
    </row>
    <row r="32" spans="1:16" ht="12.75" customHeight="1" thickBot="1" x14ac:dyDescent="0.25">
      <c r="A32" s="9" t="str">
        <f t="shared" si="0"/>
        <v>BAVM 214 </v>
      </c>
      <c r="B32" s="2" t="str">
        <f t="shared" si="1"/>
        <v>II</v>
      </c>
      <c r="C32" s="9">
        <f t="shared" si="2"/>
        <v>55067.397700000001</v>
      </c>
      <c r="D32" s="11" t="str">
        <f t="shared" si="3"/>
        <v>vis</v>
      </c>
      <c r="E32" s="70">
        <f>VLOOKUP(C32,Active!C$21:E$972,3,FALSE)</f>
        <v>6744.5097085759126</v>
      </c>
      <c r="F32" s="2" t="s">
        <v>84</v>
      </c>
      <c r="G32" s="11" t="str">
        <f t="shared" si="4"/>
        <v>55067.3977</v>
      </c>
      <c r="H32" s="9">
        <f t="shared" si="5"/>
        <v>6982.5</v>
      </c>
      <c r="I32" s="71" t="s">
        <v>179</v>
      </c>
      <c r="J32" s="72" t="s">
        <v>180</v>
      </c>
      <c r="K32" s="71" t="s">
        <v>181</v>
      </c>
      <c r="L32" s="71" t="s">
        <v>182</v>
      </c>
      <c r="M32" s="72" t="s">
        <v>88</v>
      </c>
      <c r="N32" s="72" t="s">
        <v>171</v>
      </c>
      <c r="O32" s="73" t="s">
        <v>172</v>
      </c>
      <c r="P32" s="74" t="s">
        <v>173</v>
      </c>
    </row>
    <row r="33" spans="1:16" ht="12.75" customHeight="1" thickBot="1" x14ac:dyDescent="0.25">
      <c r="A33" s="9" t="str">
        <f t="shared" si="0"/>
        <v>IBVS 5945 </v>
      </c>
      <c r="B33" s="2" t="str">
        <f t="shared" si="1"/>
        <v>I</v>
      </c>
      <c r="C33" s="9">
        <f t="shared" si="2"/>
        <v>55296.744299999998</v>
      </c>
      <c r="D33" s="11" t="str">
        <f t="shared" si="3"/>
        <v>vis</v>
      </c>
      <c r="E33" s="70">
        <f>VLOOKUP(C33,Active!C$21:E$972,3,FALSE)</f>
        <v>7347.0096409299349</v>
      </c>
      <c r="F33" s="2" t="s">
        <v>84</v>
      </c>
      <c r="G33" s="11" t="str">
        <f t="shared" si="4"/>
        <v>55296.7443</v>
      </c>
      <c r="H33" s="9">
        <f t="shared" si="5"/>
        <v>7585</v>
      </c>
      <c r="I33" s="71" t="s">
        <v>183</v>
      </c>
      <c r="J33" s="72" t="s">
        <v>184</v>
      </c>
      <c r="K33" s="71" t="s">
        <v>185</v>
      </c>
      <c r="L33" s="71" t="s">
        <v>186</v>
      </c>
      <c r="M33" s="72" t="s">
        <v>88</v>
      </c>
      <c r="N33" s="72" t="s">
        <v>84</v>
      </c>
      <c r="O33" s="73" t="s">
        <v>165</v>
      </c>
      <c r="P33" s="74" t="s">
        <v>187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55660.845699999998</v>
      </c>
      <c r="D34" s="11" t="str">
        <f t="shared" si="3"/>
        <v>vis</v>
      </c>
      <c r="E34" s="70">
        <f>VLOOKUP(C34,Active!C$21:E$972,3,FALSE)</f>
        <v>8303.5142015818346</v>
      </c>
      <c r="F34" s="2" t="s">
        <v>84</v>
      </c>
      <c r="G34" s="11" t="str">
        <f t="shared" si="4"/>
        <v>55660.8457</v>
      </c>
      <c r="H34" s="9">
        <f t="shared" si="5"/>
        <v>8541.5</v>
      </c>
      <c r="I34" s="71" t="s">
        <v>199</v>
      </c>
      <c r="J34" s="72" t="s">
        <v>200</v>
      </c>
      <c r="K34" s="71" t="s">
        <v>201</v>
      </c>
      <c r="L34" s="71" t="s">
        <v>202</v>
      </c>
      <c r="M34" s="72" t="s">
        <v>88</v>
      </c>
      <c r="N34" s="72" t="s">
        <v>84</v>
      </c>
      <c r="O34" s="73" t="s">
        <v>165</v>
      </c>
      <c r="P34" s="74" t="s">
        <v>203</v>
      </c>
    </row>
    <row r="35" spans="1:16" ht="12.75" customHeight="1" thickBot="1" x14ac:dyDescent="0.25">
      <c r="A35" s="9" t="str">
        <f t="shared" si="0"/>
        <v>IBVS 6029 </v>
      </c>
      <c r="B35" s="2" t="str">
        <f t="shared" si="1"/>
        <v>II</v>
      </c>
      <c r="C35" s="9">
        <f t="shared" si="2"/>
        <v>56038.845999999998</v>
      </c>
      <c r="D35" s="11" t="str">
        <f t="shared" si="3"/>
        <v>vis</v>
      </c>
      <c r="E35" s="70">
        <f>VLOOKUP(C35,Active!C$21:E$972,3,FALSE)</f>
        <v>9296.5315612453433</v>
      </c>
      <c r="F35" s="2" t="s">
        <v>84</v>
      </c>
      <c r="G35" s="11" t="str">
        <f t="shared" si="4"/>
        <v>56038.8460</v>
      </c>
      <c r="H35" s="9">
        <f t="shared" si="5"/>
        <v>9534.5</v>
      </c>
      <c r="I35" s="71" t="s">
        <v>213</v>
      </c>
      <c r="J35" s="72" t="s">
        <v>214</v>
      </c>
      <c r="K35" s="71" t="s">
        <v>215</v>
      </c>
      <c r="L35" s="71" t="s">
        <v>216</v>
      </c>
      <c r="M35" s="72" t="s">
        <v>88</v>
      </c>
      <c r="N35" s="72" t="s">
        <v>84</v>
      </c>
      <c r="O35" s="73" t="s">
        <v>165</v>
      </c>
      <c r="P35" s="74" t="s">
        <v>217</v>
      </c>
    </row>
    <row r="36" spans="1:16" ht="12.75" customHeight="1" thickBot="1" x14ac:dyDescent="0.25">
      <c r="A36" s="9" t="str">
        <f t="shared" si="0"/>
        <v>IBVS 6092 </v>
      </c>
      <c r="B36" s="2" t="str">
        <f t="shared" si="1"/>
        <v>I</v>
      </c>
      <c r="C36" s="9">
        <f t="shared" si="2"/>
        <v>56390.765599999999</v>
      </c>
      <c r="D36" s="11" t="str">
        <f t="shared" si="3"/>
        <v>vis</v>
      </c>
      <c r="E36" s="70">
        <f>VLOOKUP(C36,Active!C$21:E$972,3,FALSE)</f>
        <v>10221.034192607911</v>
      </c>
      <c r="F36" s="2" t="s">
        <v>84</v>
      </c>
      <c r="G36" s="11" t="str">
        <f t="shared" si="4"/>
        <v>56390.7656</v>
      </c>
      <c r="H36" s="9">
        <f t="shared" si="5"/>
        <v>10459</v>
      </c>
      <c r="I36" s="71" t="s">
        <v>218</v>
      </c>
      <c r="J36" s="72" t="s">
        <v>219</v>
      </c>
      <c r="K36" s="71" t="s">
        <v>220</v>
      </c>
      <c r="L36" s="71" t="s">
        <v>221</v>
      </c>
      <c r="M36" s="72" t="s">
        <v>88</v>
      </c>
      <c r="N36" s="72" t="s">
        <v>79</v>
      </c>
      <c r="O36" s="73" t="s">
        <v>159</v>
      </c>
      <c r="P36" s="74" t="s">
        <v>222</v>
      </c>
    </row>
    <row r="37" spans="1:16" ht="12.75" customHeight="1" thickBot="1" x14ac:dyDescent="0.25">
      <c r="A37" s="9" t="str">
        <f t="shared" si="0"/>
        <v>OEJV 0160 </v>
      </c>
      <c r="B37" s="2" t="str">
        <f t="shared" si="1"/>
        <v>I</v>
      </c>
      <c r="C37" s="9">
        <f t="shared" si="2"/>
        <v>56409.41128</v>
      </c>
      <c r="D37" s="11" t="str">
        <f t="shared" si="3"/>
        <v>vis</v>
      </c>
      <c r="E37" s="70">
        <f>VLOOKUP(C37,Active!C$21:E$972,3,FALSE)</f>
        <v>10270.016915433083</v>
      </c>
      <c r="F37" s="2" t="s">
        <v>84</v>
      </c>
      <c r="G37" s="11" t="str">
        <f t="shared" si="4"/>
        <v>56409.41128</v>
      </c>
      <c r="H37" s="9">
        <f t="shared" si="5"/>
        <v>10508</v>
      </c>
      <c r="I37" s="71" t="s">
        <v>223</v>
      </c>
      <c r="J37" s="72" t="s">
        <v>224</v>
      </c>
      <c r="K37" s="71" t="s">
        <v>225</v>
      </c>
      <c r="L37" s="71" t="s">
        <v>226</v>
      </c>
      <c r="M37" s="72" t="s">
        <v>88</v>
      </c>
      <c r="N37" s="72" t="s">
        <v>35</v>
      </c>
      <c r="O37" s="73" t="s">
        <v>227</v>
      </c>
      <c r="P37" s="74" t="s">
        <v>228</v>
      </c>
    </row>
    <row r="38" spans="1:16" ht="12.75" customHeight="1" thickBot="1" x14ac:dyDescent="0.25">
      <c r="A38" s="9" t="str">
        <f t="shared" si="0"/>
        <v>OEJV 0160 </v>
      </c>
      <c r="B38" s="2" t="str">
        <f t="shared" si="1"/>
        <v>I</v>
      </c>
      <c r="C38" s="9">
        <f t="shared" si="2"/>
        <v>56409.412060000002</v>
      </c>
      <c r="D38" s="11" t="str">
        <f t="shared" si="3"/>
        <v>vis</v>
      </c>
      <c r="E38" s="70">
        <f>VLOOKUP(C38,Active!C$21:E$972,3,FALSE)</f>
        <v>10270.018964514902</v>
      </c>
      <c r="F38" s="2" t="s">
        <v>84</v>
      </c>
      <c r="G38" s="11" t="str">
        <f t="shared" si="4"/>
        <v>56409.41206</v>
      </c>
      <c r="H38" s="9">
        <f t="shared" si="5"/>
        <v>10508</v>
      </c>
      <c r="I38" s="71" t="s">
        <v>229</v>
      </c>
      <c r="J38" s="72" t="s">
        <v>230</v>
      </c>
      <c r="K38" s="71" t="s">
        <v>225</v>
      </c>
      <c r="L38" s="71" t="s">
        <v>231</v>
      </c>
      <c r="M38" s="72" t="s">
        <v>88</v>
      </c>
      <c r="N38" s="72" t="s">
        <v>134</v>
      </c>
      <c r="O38" s="73" t="s">
        <v>227</v>
      </c>
      <c r="P38" s="74" t="s">
        <v>228</v>
      </c>
    </row>
    <row r="39" spans="1:16" ht="12.75" customHeight="1" thickBot="1" x14ac:dyDescent="0.25">
      <c r="A39" s="9" t="str">
        <f t="shared" si="0"/>
        <v>OEJV 0160 </v>
      </c>
      <c r="B39" s="2" t="str">
        <f t="shared" si="1"/>
        <v>I</v>
      </c>
      <c r="C39" s="9">
        <f t="shared" si="2"/>
        <v>56409.412420000001</v>
      </c>
      <c r="D39" s="11" t="str">
        <f t="shared" si="3"/>
        <v>vis</v>
      </c>
      <c r="E39" s="70">
        <f>VLOOKUP(C39,Active!C$21:E$972,3,FALSE)</f>
        <v>10270.019910244966</v>
      </c>
      <c r="F39" s="2" t="s">
        <v>84</v>
      </c>
      <c r="G39" s="11" t="str">
        <f t="shared" si="4"/>
        <v>56409.41242</v>
      </c>
      <c r="H39" s="9">
        <f t="shared" si="5"/>
        <v>10508</v>
      </c>
      <c r="I39" s="71" t="s">
        <v>232</v>
      </c>
      <c r="J39" s="72" t="s">
        <v>230</v>
      </c>
      <c r="K39" s="71" t="s">
        <v>225</v>
      </c>
      <c r="L39" s="71" t="s">
        <v>233</v>
      </c>
      <c r="M39" s="72" t="s">
        <v>88</v>
      </c>
      <c r="N39" s="72" t="s">
        <v>84</v>
      </c>
      <c r="O39" s="73" t="s">
        <v>227</v>
      </c>
      <c r="P39" s="74" t="s">
        <v>228</v>
      </c>
    </row>
    <row r="40" spans="1:16" ht="12.75" customHeight="1" thickBot="1" x14ac:dyDescent="0.25">
      <c r="A40" s="9" t="str">
        <f t="shared" si="0"/>
        <v>IBVS 6094 </v>
      </c>
      <c r="B40" s="2" t="str">
        <f t="shared" si="1"/>
        <v>I</v>
      </c>
      <c r="C40" s="9">
        <f t="shared" si="2"/>
        <v>56446.342799999999</v>
      </c>
      <c r="D40" s="11" t="str">
        <f t="shared" si="3"/>
        <v>vis</v>
      </c>
      <c r="E40" s="70">
        <f>VLOOKUP(C40,Active!C$21:E$972,3,FALSE)</f>
        <v>10367.037051339743</v>
      </c>
      <c r="F40" s="2" t="s">
        <v>84</v>
      </c>
      <c r="G40" s="11" t="str">
        <f t="shared" si="4"/>
        <v>56446.3428</v>
      </c>
      <c r="H40" s="9">
        <f t="shared" si="5"/>
        <v>10605</v>
      </c>
      <c r="I40" s="71" t="s">
        <v>234</v>
      </c>
      <c r="J40" s="72" t="s">
        <v>235</v>
      </c>
      <c r="K40" s="71" t="s">
        <v>236</v>
      </c>
      <c r="L40" s="71" t="s">
        <v>237</v>
      </c>
      <c r="M40" s="72" t="s">
        <v>88</v>
      </c>
      <c r="N40" s="72" t="s">
        <v>79</v>
      </c>
      <c r="O40" s="73" t="s">
        <v>238</v>
      </c>
      <c r="P40" s="74" t="s">
        <v>239</v>
      </c>
    </row>
    <row r="41" spans="1:16" ht="12.75" customHeight="1" thickBot="1" x14ac:dyDescent="0.25">
      <c r="A41" s="9" t="str">
        <f t="shared" si="0"/>
        <v>VSB 48 </v>
      </c>
      <c r="B41" s="2" t="str">
        <f t="shared" si="1"/>
        <v>I</v>
      </c>
      <c r="C41" s="9">
        <f t="shared" si="2"/>
        <v>54587.1944</v>
      </c>
      <c r="D41" s="11" t="str">
        <f t="shared" si="3"/>
        <v>vis</v>
      </c>
      <c r="E41" s="70">
        <f>VLOOKUP(C41,Active!C$21:E$972,3,FALSE)</f>
        <v>5483.0022095932263</v>
      </c>
      <c r="F41" s="2" t="s">
        <v>84</v>
      </c>
      <c r="G41" s="11" t="str">
        <f t="shared" si="4"/>
        <v>54587.1944</v>
      </c>
      <c r="H41" s="9">
        <f t="shared" si="5"/>
        <v>5721</v>
      </c>
      <c r="I41" s="71" t="s">
        <v>140</v>
      </c>
      <c r="J41" s="72" t="s">
        <v>141</v>
      </c>
      <c r="K41" s="71">
        <v>5721</v>
      </c>
      <c r="L41" s="71" t="s">
        <v>142</v>
      </c>
      <c r="M41" s="72" t="s">
        <v>88</v>
      </c>
      <c r="N41" s="72" t="s">
        <v>84</v>
      </c>
      <c r="O41" s="73" t="s">
        <v>143</v>
      </c>
      <c r="P41" s="74" t="s">
        <v>144</v>
      </c>
    </row>
    <row r="42" spans="1:16" ht="12.75" customHeight="1" thickBot="1" x14ac:dyDescent="0.25">
      <c r="A42" s="9" t="str">
        <f t="shared" si="0"/>
        <v>VSB 53 </v>
      </c>
      <c r="B42" s="2" t="str">
        <f t="shared" si="1"/>
        <v>I</v>
      </c>
      <c r="C42" s="9">
        <f t="shared" si="2"/>
        <v>55657.993999999999</v>
      </c>
      <c r="D42" s="11" t="str">
        <f t="shared" si="3"/>
        <v>vis</v>
      </c>
      <c r="E42" s="70">
        <f>VLOOKUP(C42,Active!C$21:E$972,3,FALSE)</f>
        <v>8296.0227059281242</v>
      </c>
      <c r="F42" s="2" t="s">
        <v>84</v>
      </c>
      <c r="G42" s="11" t="str">
        <f t="shared" si="4"/>
        <v>55657.994</v>
      </c>
      <c r="H42" s="9">
        <f t="shared" si="5"/>
        <v>8534</v>
      </c>
      <c r="I42" s="71" t="s">
        <v>188</v>
      </c>
      <c r="J42" s="72" t="s">
        <v>189</v>
      </c>
      <c r="K42" s="71" t="s">
        <v>190</v>
      </c>
      <c r="L42" s="71" t="s">
        <v>191</v>
      </c>
      <c r="M42" s="72" t="s">
        <v>88</v>
      </c>
      <c r="N42" s="72" t="s">
        <v>192</v>
      </c>
      <c r="O42" s="73" t="s">
        <v>193</v>
      </c>
      <c r="P42" s="74" t="s">
        <v>194</v>
      </c>
    </row>
    <row r="43" spans="1:16" ht="12.75" customHeight="1" thickBot="1" x14ac:dyDescent="0.25">
      <c r="A43" s="9" t="str">
        <f t="shared" si="0"/>
        <v>VSB 53 </v>
      </c>
      <c r="B43" s="2" t="str">
        <f t="shared" si="1"/>
        <v>II</v>
      </c>
      <c r="C43" s="9">
        <f t="shared" si="2"/>
        <v>55658.183100000002</v>
      </c>
      <c r="D43" s="11" t="str">
        <f t="shared" si="3"/>
        <v>vis</v>
      </c>
      <c r="E43" s="70">
        <f>VLOOKUP(C43,Active!C$21:E$972,3,FALSE)</f>
        <v>8296.5194769167065</v>
      </c>
      <c r="F43" s="2" t="s">
        <v>84</v>
      </c>
      <c r="G43" s="11" t="str">
        <f t="shared" si="4"/>
        <v>55658.1831</v>
      </c>
      <c r="H43" s="9">
        <f t="shared" si="5"/>
        <v>8534.5</v>
      </c>
      <c r="I43" s="71" t="s">
        <v>195</v>
      </c>
      <c r="J43" s="72" t="s">
        <v>196</v>
      </c>
      <c r="K43" s="71" t="s">
        <v>197</v>
      </c>
      <c r="L43" s="71" t="s">
        <v>198</v>
      </c>
      <c r="M43" s="72" t="s">
        <v>88</v>
      </c>
      <c r="N43" s="72" t="s">
        <v>192</v>
      </c>
      <c r="O43" s="73" t="s">
        <v>193</v>
      </c>
      <c r="P43" s="74" t="s">
        <v>194</v>
      </c>
    </row>
    <row r="44" spans="1:16" ht="12.75" customHeight="1" thickBot="1" x14ac:dyDescent="0.25">
      <c r="A44" s="9" t="str">
        <f t="shared" si="0"/>
        <v>VSB 55 </v>
      </c>
      <c r="B44" s="2" t="str">
        <f t="shared" si="1"/>
        <v>I</v>
      </c>
      <c r="C44" s="9">
        <f t="shared" si="2"/>
        <v>56018.0982</v>
      </c>
      <c r="D44" s="11" t="str">
        <f t="shared" si="3"/>
        <v>vis</v>
      </c>
      <c r="E44" s="70">
        <f>VLOOKUP(C44,Active!C$21:E$972,3,FALSE)</f>
        <v>9242.0265103900292</v>
      </c>
      <c r="F44" s="2" t="s">
        <v>84</v>
      </c>
      <c r="G44" s="11" t="str">
        <f t="shared" si="4"/>
        <v>56018.0982</v>
      </c>
      <c r="H44" s="9">
        <f t="shared" si="5"/>
        <v>9480</v>
      </c>
      <c r="I44" s="71" t="s">
        <v>204</v>
      </c>
      <c r="J44" s="72" t="s">
        <v>205</v>
      </c>
      <c r="K44" s="71" t="s">
        <v>206</v>
      </c>
      <c r="L44" s="71" t="s">
        <v>207</v>
      </c>
      <c r="M44" s="72" t="s">
        <v>88</v>
      </c>
      <c r="N44" s="72" t="s">
        <v>192</v>
      </c>
      <c r="O44" s="73" t="s">
        <v>193</v>
      </c>
      <c r="P44" s="74" t="s">
        <v>208</v>
      </c>
    </row>
    <row r="45" spans="1:16" ht="12.75" customHeight="1" thickBot="1" x14ac:dyDescent="0.25">
      <c r="A45" s="9" t="str">
        <f t="shared" si="0"/>
        <v>VSB 55 </v>
      </c>
      <c r="B45" s="2" t="str">
        <f t="shared" si="1"/>
        <v>II</v>
      </c>
      <c r="C45" s="9">
        <f t="shared" si="2"/>
        <v>56018.288200000003</v>
      </c>
      <c r="D45" s="11" t="str">
        <f t="shared" si="3"/>
        <v>vis</v>
      </c>
      <c r="E45" s="70">
        <f>VLOOKUP(C45,Active!C$21:E$972,3,FALSE)</f>
        <v>9242.5256457037813</v>
      </c>
      <c r="F45" s="2" t="s">
        <v>84</v>
      </c>
      <c r="G45" s="11" t="str">
        <f t="shared" si="4"/>
        <v>56018.2882</v>
      </c>
      <c r="H45" s="9">
        <f t="shared" si="5"/>
        <v>9480.5</v>
      </c>
      <c r="I45" s="71" t="s">
        <v>209</v>
      </c>
      <c r="J45" s="72" t="s">
        <v>210</v>
      </c>
      <c r="K45" s="71" t="s">
        <v>211</v>
      </c>
      <c r="L45" s="71" t="s">
        <v>212</v>
      </c>
      <c r="M45" s="72" t="s">
        <v>88</v>
      </c>
      <c r="N45" s="72" t="s">
        <v>192</v>
      </c>
      <c r="O45" s="73" t="s">
        <v>193</v>
      </c>
      <c r="P45" s="74" t="s">
        <v>208</v>
      </c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  <hyperlink ref="P11" r:id="rId2" display="http://www.konkoly.hu/cgi-bin/IBVS?5295" xr:uid="{00000000-0004-0000-0200-000001000000}"/>
    <hyperlink ref="P12" r:id="rId3" display="http://www.konkoly.hu/cgi-bin/IBVS?5295" xr:uid="{00000000-0004-0000-0200-000002000000}"/>
    <hyperlink ref="P13" r:id="rId4" display="http://www.konkoly.hu/cgi-bin/IBVS?5295" xr:uid="{00000000-0004-0000-0200-000003000000}"/>
    <hyperlink ref="P14" r:id="rId5" display="http://www.konkoly.hu/cgi-bin/IBVS?5295" xr:uid="{00000000-0004-0000-0200-000004000000}"/>
    <hyperlink ref="P15" r:id="rId6" display="http://www.konkoly.hu/cgi-bin/IBVS?5295" xr:uid="{00000000-0004-0000-0200-000005000000}"/>
    <hyperlink ref="P16" r:id="rId7" display="http://www.konkoly.hu/cgi-bin/IBVS?5295" xr:uid="{00000000-0004-0000-0200-000006000000}"/>
    <hyperlink ref="P17" r:id="rId8" display="http://www.konkoly.hu/cgi-bin/IBVS?5295" xr:uid="{00000000-0004-0000-0200-000007000000}"/>
    <hyperlink ref="P18" r:id="rId9" display="http://www.konkoly.hu/cgi-bin/IBVS?5295" xr:uid="{00000000-0004-0000-0200-000008000000}"/>
    <hyperlink ref="P19" r:id="rId10" display="http://www.konkoly.hu/cgi-bin/IBVS?5295" xr:uid="{00000000-0004-0000-0200-000009000000}"/>
    <hyperlink ref="P20" r:id="rId11" display="http://www.konkoly.hu/cgi-bin/IBVS?5295" xr:uid="{00000000-0004-0000-0200-00000A000000}"/>
    <hyperlink ref="P21" r:id="rId12" display="http://www.konkoly.hu/cgi-bin/IBVS?5543" xr:uid="{00000000-0004-0000-0200-00000B000000}"/>
    <hyperlink ref="P22" r:id="rId13" display="http://www.konkoly.hu/cgi-bin/IBVS?5653" xr:uid="{00000000-0004-0000-0200-00000C000000}"/>
    <hyperlink ref="P23" r:id="rId14" display="http://www.konkoly.hu/cgi-bin/IBVS?5653" xr:uid="{00000000-0004-0000-0200-00000D000000}"/>
    <hyperlink ref="P24" r:id="rId15" display="http://www.konkoly.hu/cgi-bin/IBVS?5713" xr:uid="{00000000-0004-0000-0200-00000E000000}"/>
    <hyperlink ref="P25" r:id="rId16" display="http://www.konkoly.hu/cgi-bin/IBVS?5781" xr:uid="{00000000-0004-0000-0200-00000F000000}"/>
    <hyperlink ref="P41" r:id="rId17" display="http://vsolj.cetus-net.org/no48.pdf" xr:uid="{00000000-0004-0000-0200-000010000000}"/>
    <hyperlink ref="P26" r:id="rId18" display="http://www.konkoly.hu/cgi-bin/IBVS?5871" xr:uid="{00000000-0004-0000-0200-000011000000}"/>
    <hyperlink ref="P27" r:id="rId19" display="http://www.bav-astro.de/sfs/BAVM_link.php?BAVMnr=209" xr:uid="{00000000-0004-0000-0200-000012000000}"/>
    <hyperlink ref="P28" r:id="rId20" display="http://www.konkoly.hu/cgi-bin/IBVS?5929" xr:uid="{00000000-0004-0000-0200-000013000000}"/>
    <hyperlink ref="P29" r:id="rId21" display="http://www.konkoly.hu/cgi-bin/IBVS?5894" xr:uid="{00000000-0004-0000-0200-000014000000}"/>
    <hyperlink ref="P30" r:id="rId22" display="http://www.bav-astro.de/sfs/BAVM_link.php?BAVMnr=214" xr:uid="{00000000-0004-0000-0200-000015000000}"/>
    <hyperlink ref="P31" r:id="rId23" display="http://www.konkoly.hu/cgi-bin/IBVS?5920" xr:uid="{00000000-0004-0000-0200-000016000000}"/>
    <hyperlink ref="P32" r:id="rId24" display="http://www.bav-astro.de/sfs/BAVM_link.php?BAVMnr=214" xr:uid="{00000000-0004-0000-0200-000017000000}"/>
    <hyperlink ref="P33" r:id="rId25" display="http://www.konkoly.hu/cgi-bin/IBVS?5945" xr:uid="{00000000-0004-0000-0200-000018000000}"/>
    <hyperlink ref="P42" r:id="rId26" display="http://vsolj.cetus-net.org/vsoljno53.pdf" xr:uid="{00000000-0004-0000-0200-000019000000}"/>
    <hyperlink ref="P43" r:id="rId27" display="http://vsolj.cetus-net.org/vsoljno53.pdf" xr:uid="{00000000-0004-0000-0200-00001A000000}"/>
    <hyperlink ref="P34" r:id="rId28" display="http://www.konkoly.hu/cgi-bin/IBVS?5992" xr:uid="{00000000-0004-0000-0200-00001B000000}"/>
    <hyperlink ref="P44" r:id="rId29" display="http://vsolj.cetus-net.org/vsoljno55.pdf" xr:uid="{00000000-0004-0000-0200-00001C000000}"/>
    <hyperlink ref="P45" r:id="rId30" display="http://vsolj.cetus-net.org/vsoljno55.pdf" xr:uid="{00000000-0004-0000-0200-00001D000000}"/>
    <hyperlink ref="P35" r:id="rId31" display="http://www.konkoly.hu/cgi-bin/IBVS?6029" xr:uid="{00000000-0004-0000-0200-00001E000000}"/>
    <hyperlink ref="P36" r:id="rId32" display="http://www.konkoly.hu/cgi-bin/IBVS?6092" xr:uid="{00000000-0004-0000-0200-00001F000000}"/>
    <hyperlink ref="P37" r:id="rId33" display="http://var.astro.cz/oejv/issues/oejv0160.pdf" xr:uid="{00000000-0004-0000-0200-000020000000}"/>
    <hyperlink ref="P38" r:id="rId34" display="http://var.astro.cz/oejv/issues/oejv0160.pdf" xr:uid="{00000000-0004-0000-0200-000021000000}"/>
    <hyperlink ref="P39" r:id="rId35" display="http://var.astro.cz/oejv/issues/oejv0160.pdf" xr:uid="{00000000-0004-0000-0200-000022000000}"/>
    <hyperlink ref="P40" r:id="rId36" display="http://www.konkoly.hu/cgi-bin/IBVS?6094" xr:uid="{00000000-0004-0000-02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2023-01-26T07:23:26Z</dcterms:modified>
</cp:coreProperties>
</file>