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591C5F8-08EF-4777-8B5F-EEEF982E2926}" xr6:coauthVersionLast="47" xr6:coauthVersionMax="47" xr10:uidLastSave="{00000000-0000-0000-0000-000000000000}"/>
  <bookViews>
    <workbookView xWindow="12990" yWindow="1005" windowWidth="12975" windowHeight="14640" xr2:uid="{00000000-000D-0000-FFFF-FFFF00000000}"/>
  </bookViews>
  <sheets>
    <sheet name="Active" sheetId="2" r:id="rId1"/>
    <sheet name="BAV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2" l="1"/>
  <c r="F85" i="2" s="1"/>
  <c r="Q85" i="2"/>
  <c r="E86" i="2"/>
  <c r="F86" i="2" s="1"/>
  <c r="Q86" i="2"/>
  <c r="E87" i="2"/>
  <c r="F87" i="2"/>
  <c r="G87" i="2" s="1"/>
  <c r="K87" i="2" s="1"/>
  <c r="Q87" i="2"/>
  <c r="Q84" i="2"/>
  <c r="D9" i="2"/>
  <c r="C9" i="2"/>
  <c r="D11" i="2"/>
  <c r="W14" i="2" s="1"/>
  <c r="D12" i="2"/>
  <c r="Q83" i="2"/>
  <c r="Q81" i="2"/>
  <c r="Q82" i="2"/>
  <c r="F16" i="2"/>
  <c r="F17" i="2" s="1"/>
  <c r="D13" i="2"/>
  <c r="T37" i="2"/>
  <c r="T70" i="2"/>
  <c r="S78" i="2"/>
  <c r="S71" i="2"/>
  <c r="S69" i="2"/>
  <c r="S24" i="2"/>
  <c r="S33" i="2"/>
  <c r="S54" i="2"/>
  <c r="S32" i="2"/>
  <c r="S53" i="2"/>
  <c r="S46" i="2"/>
  <c r="S48" i="2"/>
  <c r="S47" i="2"/>
  <c r="S36" i="2"/>
  <c r="S22" i="2"/>
  <c r="S55" i="2"/>
  <c r="S45" i="2"/>
  <c r="S43" i="2"/>
  <c r="S56" i="2"/>
  <c r="S51" i="2"/>
  <c r="S35" i="2"/>
  <c r="S49" i="2"/>
  <c r="S38" i="2"/>
  <c r="S29" i="2"/>
  <c r="S57" i="2"/>
  <c r="S27" i="2"/>
  <c r="S52" i="2"/>
  <c r="S31" i="2"/>
  <c r="S25" i="2"/>
  <c r="S23" i="2"/>
  <c r="S28" i="2"/>
  <c r="S30" i="2"/>
  <c r="S34" i="2"/>
  <c r="S58" i="2"/>
  <c r="S59" i="2"/>
  <c r="S61" i="2"/>
  <c r="S62" i="2"/>
  <c r="S64" i="2"/>
  <c r="S60" i="2"/>
  <c r="S63" i="2"/>
  <c r="S65" i="2"/>
  <c r="S67" i="2"/>
  <c r="S66" i="2"/>
  <c r="S68" i="2"/>
  <c r="S73" i="2"/>
  <c r="S72" i="2"/>
  <c r="S74" i="2"/>
  <c r="S75" i="2"/>
  <c r="S76" i="2"/>
  <c r="S77" i="2"/>
  <c r="S79" i="2"/>
  <c r="S80" i="2"/>
  <c r="S21" i="2"/>
  <c r="S44" i="2"/>
  <c r="S39" i="2"/>
  <c r="S40" i="2"/>
  <c r="S50" i="2"/>
  <c r="S41" i="2"/>
  <c r="S26" i="2"/>
  <c r="S42" i="2"/>
  <c r="Q78" i="2"/>
  <c r="Q76" i="2"/>
  <c r="Q69" i="2"/>
  <c r="Q55" i="2"/>
  <c r="Q54" i="2"/>
  <c r="Q53" i="2"/>
  <c r="Q52" i="2"/>
  <c r="Q51" i="2"/>
  <c r="Q49" i="2"/>
  <c r="Q48" i="2"/>
  <c r="Q47" i="2"/>
  <c r="Q46" i="2"/>
  <c r="Q45" i="2"/>
  <c r="Q43" i="2"/>
  <c r="Q38" i="2"/>
  <c r="Q36" i="2"/>
  <c r="Q35" i="2"/>
  <c r="Q34" i="2"/>
  <c r="Q33" i="2"/>
  <c r="Q32" i="2"/>
  <c r="Q31" i="2"/>
  <c r="Q30" i="2"/>
  <c r="Q29" i="2"/>
  <c r="Q28" i="2"/>
  <c r="Q27" i="2"/>
  <c r="Q25" i="2"/>
  <c r="Q24" i="2"/>
  <c r="Q23" i="2"/>
  <c r="Q22" i="2"/>
  <c r="Q21" i="2"/>
  <c r="Q80" i="2"/>
  <c r="G11" i="3"/>
  <c r="C11" i="3"/>
  <c r="G38" i="3"/>
  <c r="C38" i="3"/>
  <c r="G68" i="3"/>
  <c r="C68" i="3"/>
  <c r="G37" i="3"/>
  <c r="C37" i="3"/>
  <c r="G67" i="3"/>
  <c r="C67" i="3"/>
  <c r="G36" i="3"/>
  <c r="C36" i="3"/>
  <c r="G35" i="3"/>
  <c r="C35" i="3"/>
  <c r="G34" i="3"/>
  <c r="C34" i="3"/>
  <c r="G33" i="3"/>
  <c r="C33" i="3"/>
  <c r="G32" i="3"/>
  <c r="C32" i="3"/>
  <c r="G31" i="3"/>
  <c r="C31" i="3"/>
  <c r="G66" i="3"/>
  <c r="C66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65" i="3"/>
  <c r="C65" i="3"/>
  <c r="G64" i="3"/>
  <c r="C64" i="3"/>
  <c r="G63" i="3"/>
  <c r="C63" i="3"/>
  <c r="G62" i="3"/>
  <c r="C62" i="3"/>
  <c r="G61" i="3"/>
  <c r="C61" i="3"/>
  <c r="G17" i="3"/>
  <c r="C17" i="3"/>
  <c r="G60" i="3"/>
  <c r="C60" i="3"/>
  <c r="G59" i="3"/>
  <c r="C59" i="3"/>
  <c r="G58" i="3"/>
  <c r="C58" i="3"/>
  <c r="G57" i="3"/>
  <c r="C57" i="3"/>
  <c r="G56" i="3"/>
  <c r="C56" i="3"/>
  <c r="G16" i="3"/>
  <c r="C16" i="3"/>
  <c r="G55" i="3"/>
  <c r="C55" i="3"/>
  <c r="G15" i="3"/>
  <c r="C15" i="3"/>
  <c r="G14" i="3"/>
  <c r="C14" i="3"/>
  <c r="G13" i="3"/>
  <c r="C13" i="3"/>
  <c r="G12" i="3"/>
  <c r="C12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H11" i="3"/>
  <c r="B11" i="3"/>
  <c r="D11" i="3"/>
  <c r="A11" i="3"/>
  <c r="H38" i="3"/>
  <c r="D38" i="3"/>
  <c r="B38" i="3"/>
  <c r="A38" i="3"/>
  <c r="H68" i="3"/>
  <c r="B68" i="3"/>
  <c r="D68" i="3"/>
  <c r="A68" i="3"/>
  <c r="H37" i="3"/>
  <c r="D37" i="3"/>
  <c r="B37" i="3"/>
  <c r="A37" i="3"/>
  <c r="H67" i="3"/>
  <c r="B67" i="3"/>
  <c r="D67" i="3"/>
  <c r="A6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66" i="3"/>
  <c r="B66" i="3"/>
  <c r="D66" i="3"/>
  <c r="A6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65" i="3"/>
  <c r="D65" i="3"/>
  <c r="B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17" i="3"/>
  <c r="B17" i="3"/>
  <c r="D17" i="3"/>
  <c r="A17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B56" i="3"/>
  <c r="D56" i="3"/>
  <c r="A56" i="3"/>
  <c r="H16" i="3"/>
  <c r="B16" i="3"/>
  <c r="D16" i="3"/>
  <c r="A16" i="3"/>
  <c r="H55" i="3"/>
  <c r="B55" i="3"/>
  <c r="D55" i="3"/>
  <c r="A55" i="3"/>
  <c r="H15" i="3"/>
  <c r="B15" i="3"/>
  <c r="D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Q77" i="2"/>
  <c r="Q79" i="2"/>
  <c r="Q75" i="2"/>
  <c r="Q70" i="2"/>
  <c r="C17" i="2"/>
  <c r="Q74" i="2"/>
  <c r="Q62" i="2"/>
  <c r="Q72" i="2"/>
  <c r="Q73" i="2"/>
  <c r="C7" i="2"/>
  <c r="C8" i="2"/>
  <c r="Q65" i="2"/>
  <c r="Q66" i="2"/>
  <c r="Q67" i="2"/>
  <c r="Q68" i="2"/>
  <c r="Q71" i="2"/>
  <c r="Q26" i="2"/>
  <c r="Q37" i="2"/>
  <c r="Q39" i="2"/>
  <c r="Q40" i="2"/>
  <c r="Q41" i="2"/>
  <c r="Q42" i="2"/>
  <c r="Q44" i="2"/>
  <c r="Q50" i="2"/>
  <c r="Q56" i="2"/>
  <c r="Q57" i="2"/>
  <c r="Q58" i="2"/>
  <c r="Q59" i="2"/>
  <c r="Q60" i="2"/>
  <c r="Q61" i="2"/>
  <c r="Q63" i="2"/>
  <c r="Q64" i="2"/>
  <c r="E60" i="3"/>
  <c r="E35" i="3"/>
  <c r="E11" i="3"/>
  <c r="E84" i="2"/>
  <c r="F84" i="2"/>
  <c r="E67" i="2"/>
  <c r="E76" i="2"/>
  <c r="F76" i="2"/>
  <c r="E24" i="2"/>
  <c r="F24" i="2"/>
  <c r="E28" i="2"/>
  <c r="F28" i="2"/>
  <c r="E32" i="2"/>
  <c r="F32" i="2"/>
  <c r="E36" i="2"/>
  <c r="F36" i="2"/>
  <c r="E40" i="2"/>
  <c r="F40" i="2"/>
  <c r="E44" i="2"/>
  <c r="F44" i="2"/>
  <c r="E48" i="2"/>
  <c r="F48" i="2"/>
  <c r="E52" i="2"/>
  <c r="F52" i="2"/>
  <c r="E56" i="2"/>
  <c r="F56" i="2"/>
  <c r="P56" i="2"/>
  <c r="R56" i="2" s="1"/>
  <c r="T56" i="2" s="1"/>
  <c r="E60" i="2"/>
  <c r="F60" i="2"/>
  <c r="G38" i="2"/>
  <c r="I38" i="2"/>
  <c r="G26" i="2"/>
  <c r="H26" i="2"/>
  <c r="G24" i="2"/>
  <c r="I24" i="2"/>
  <c r="G29" i="2"/>
  <c r="I29" i="2"/>
  <c r="E71" i="2"/>
  <c r="F71" i="2"/>
  <c r="E79" i="2"/>
  <c r="F79" i="2"/>
  <c r="P79" i="2"/>
  <c r="R79" i="2" s="1"/>
  <c r="T79" i="2" s="1"/>
  <c r="E61" i="2"/>
  <c r="F61" i="2"/>
  <c r="G39" i="2"/>
  <c r="H39" i="2"/>
  <c r="G28" i="2"/>
  <c r="I28" i="2"/>
  <c r="G83" i="2"/>
  <c r="K83" i="2"/>
  <c r="E74" i="2"/>
  <c r="F74" i="2"/>
  <c r="E70" i="2"/>
  <c r="F70" i="2"/>
  <c r="E21" i="2"/>
  <c r="F21" i="2"/>
  <c r="E25" i="2"/>
  <c r="E29" i="2"/>
  <c r="F29" i="2"/>
  <c r="E33" i="2"/>
  <c r="F33" i="2"/>
  <c r="E37" i="2"/>
  <c r="F37" i="2"/>
  <c r="E41" i="2"/>
  <c r="F41" i="2"/>
  <c r="E45" i="2"/>
  <c r="F45" i="2"/>
  <c r="E49" i="2"/>
  <c r="F49" i="2"/>
  <c r="E53" i="2"/>
  <c r="F53" i="2"/>
  <c r="E57" i="2"/>
  <c r="F57" i="2"/>
  <c r="E62" i="2"/>
  <c r="F62" i="2"/>
  <c r="G40" i="2"/>
  <c r="H40" i="2"/>
  <c r="G56" i="2"/>
  <c r="I56" i="2"/>
  <c r="G84" i="2"/>
  <c r="K84" i="2"/>
  <c r="E68" i="2"/>
  <c r="F68" i="2"/>
  <c r="G71" i="2"/>
  <c r="K71" i="2"/>
  <c r="E77" i="2"/>
  <c r="F77" i="2"/>
  <c r="E63" i="2"/>
  <c r="F63" i="2"/>
  <c r="G49" i="2"/>
  <c r="I49" i="2"/>
  <c r="G61" i="2"/>
  <c r="I61" i="2"/>
  <c r="E72" i="2"/>
  <c r="F72" i="2"/>
  <c r="G74" i="2"/>
  <c r="I74" i="2"/>
  <c r="E80" i="2"/>
  <c r="F80" i="2"/>
  <c r="E22" i="2"/>
  <c r="F22" i="2"/>
  <c r="E26" i="2"/>
  <c r="F26" i="2"/>
  <c r="E30" i="2"/>
  <c r="F30" i="2"/>
  <c r="E34" i="2"/>
  <c r="E38" i="2"/>
  <c r="F38" i="2"/>
  <c r="E42" i="2"/>
  <c r="F42" i="2"/>
  <c r="E46" i="2"/>
  <c r="F46" i="2"/>
  <c r="E50" i="2"/>
  <c r="F50" i="2"/>
  <c r="E54" i="2"/>
  <c r="F54" i="2"/>
  <c r="E58" i="2"/>
  <c r="F58" i="2"/>
  <c r="P58" i="2"/>
  <c r="R58" i="2" s="1"/>
  <c r="T58" i="2" s="1"/>
  <c r="E64" i="2"/>
  <c r="F64" i="2"/>
  <c r="G33" i="2"/>
  <c r="I33" i="2"/>
  <c r="G50" i="2"/>
  <c r="H50" i="2"/>
  <c r="G58" i="2"/>
  <c r="I58" i="2"/>
  <c r="G22" i="2"/>
  <c r="I22" i="2"/>
  <c r="E83" i="2"/>
  <c r="F83" i="2"/>
  <c r="E66" i="2"/>
  <c r="F66" i="2"/>
  <c r="G68" i="2"/>
  <c r="I68" i="2"/>
  <c r="E75" i="2"/>
  <c r="G77" i="2"/>
  <c r="I77" i="2"/>
  <c r="E65" i="2"/>
  <c r="F65" i="2"/>
  <c r="E81" i="2"/>
  <c r="F81" i="2"/>
  <c r="G81" i="2"/>
  <c r="K81" i="2"/>
  <c r="G62" i="2"/>
  <c r="I62" i="2"/>
  <c r="E69" i="2"/>
  <c r="F69" i="2"/>
  <c r="P69" i="2"/>
  <c r="R69" i="2" s="1"/>
  <c r="T69" i="2" s="1"/>
  <c r="E78" i="2"/>
  <c r="F78" i="2"/>
  <c r="G80" i="2"/>
  <c r="I80" i="2"/>
  <c r="E23" i="2"/>
  <c r="F23" i="2"/>
  <c r="E27" i="2"/>
  <c r="F27" i="2"/>
  <c r="E31" i="2"/>
  <c r="F31" i="2"/>
  <c r="E35" i="2"/>
  <c r="F35" i="2"/>
  <c r="E39" i="2"/>
  <c r="F39" i="2"/>
  <c r="E43" i="2"/>
  <c r="E47" i="2"/>
  <c r="F47" i="2"/>
  <c r="P47" i="2"/>
  <c r="R47" i="2" s="1"/>
  <c r="T47" i="2" s="1"/>
  <c r="E51" i="2"/>
  <c r="E55" i="2"/>
  <c r="F55" i="2"/>
  <c r="E59" i="2"/>
  <c r="G44" i="2"/>
  <c r="H44" i="2"/>
  <c r="G52" i="2"/>
  <c r="I52" i="2"/>
  <c r="E73" i="2"/>
  <c r="F73" i="2"/>
  <c r="E82" i="2"/>
  <c r="F82" i="2"/>
  <c r="G82" i="2"/>
  <c r="K82" i="2"/>
  <c r="G36" i="2"/>
  <c r="I36" i="2"/>
  <c r="G45" i="2"/>
  <c r="I45" i="2"/>
  <c r="G27" i="2"/>
  <c r="I27" i="2"/>
  <c r="E46" i="3"/>
  <c r="E13" i="3"/>
  <c r="E31" i="3"/>
  <c r="E47" i="3"/>
  <c r="E56" i="3"/>
  <c r="E17" i="3"/>
  <c r="E32" i="3"/>
  <c r="E42" i="3"/>
  <c r="E14" i="3"/>
  <c r="E18" i="3"/>
  <c r="E22" i="3"/>
  <c r="E67" i="3"/>
  <c r="E48" i="3"/>
  <c r="E52" i="3"/>
  <c r="E58" i="3"/>
  <c r="E33" i="3"/>
  <c r="E37" i="3"/>
  <c r="E23" i="3"/>
  <c r="E53" i="3"/>
  <c r="E15" i="3"/>
  <c r="E19" i="3"/>
  <c r="E24" i="3"/>
  <c r="E68" i="3"/>
  <c r="E49" i="3"/>
  <c r="E54" i="3"/>
  <c r="E59" i="3"/>
  <c r="E62" i="3"/>
  <c r="E34" i="3"/>
  <c r="E38" i="3"/>
  <c r="E40" i="3"/>
  <c r="E44" i="3"/>
  <c r="E63" i="3"/>
  <c r="E20" i="3"/>
  <c r="E30" i="3"/>
  <c r="W17" i="2"/>
  <c r="W16" i="2"/>
  <c r="E41" i="3"/>
  <c r="E66" i="3"/>
  <c r="E12" i="3"/>
  <c r="E39" i="3"/>
  <c r="E27" i="3"/>
  <c r="G66" i="2"/>
  <c r="I66" i="2"/>
  <c r="F43" i="2"/>
  <c r="E55" i="3"/>
  <c r="G72" i="2"/>
  <c r="I72" i="2"/>
  <c r="G41" i="2"/>
  <c r="H41" i="2"/>
  <c r="G76" i="2"/>
  <c r="I76" i="2"/>
  <c r="G55" i="2"/>
  <c r="I55" i="2"/>
  <c r="E26" i="3"/>
  <c r="E57" i="3"/>
  <c r="G53" i="2"/>
  <c r="I53" i="2"/>
  <c r="G21" i="2"/>
  <c r="I21" i="2"/>
  <c r="G32" i="2"/>
  <c r="I32" i="2"/>
  <c r="G48" i="2"/>
  <c r="I48" i="2"/>
  <c r="G47" i="2"/>
  <c r="I47" i="2"/>
  <c r="G78" i="2"/>
  <c r="K78" i="2"/>
  <c r="E64" i="3"/>
  <c r="E65" i="3"/>
  <c r="G79" i="2"/>
  <c r="I79" i="2"/>
  <c r="G64" i="2"/>
  <c r="I64" i="2"/>
  <c r="G69" i="2"/>
  <c r="K69" i="2"/>
  <c r="E50" i="3"/>
  <c r="G35" i="2"/>
  <c r="I35" i="2"/>
  <c r="G31" i="2"/>
  <c r="I31" i="2"/>
  <c r="E25" i="3"/>
  <c r="E28" i="3"/>
  <c r="E16" i="3"/>
  <c r="F59" i="2"/>
  <c r="E21" i="3"/>
  <c r="G30" i="2"/>
  <c r="I30" i="2"/>
  <c r="F75" i="2"/>
  <c r="E36" i="3"/>
  <c r="G42" i="2"/>
  <c r="H42" i="2"/>
  <c r="G65" i="2"/>
  <c r="I65" i="2"/>
  <c r="G60" i="2"/>
  <c r="I60" i="2"/>
  <c r="G54" i="2"/>
  <c r="I54" i="2"/>
  <c r="F67" i="2"/>
  <c r="E29" i="3"/>
  <c r="E45" i="3"/>
  <c r="G23" i="2"/>
  <c r="I23" i="2"/>
  <c r="F34" i="2"/>
  <c r="E51" i="3"/>
  <c r="F25" i="2"/>
  <c r="E43" i="3"/>
  <c r="G46" i="2"/>
  <c r="I46" i="2"/>
  <c r="G63" i="2"/>
  <c r="I63" i="2"/>
  <c r="F51" i="2"/>
  <c r="E61" i="3"/>
  <c r="G57" i="2"/>
  <c r="I57" i="2"/>
  <c r="G73" i="2"/>
  <c r="I73" i="2"/>
  <c r="G51" i="2"/>
  <c r="I51" i="2"/>
  <c r="G43" i="2"/>
  <c r="I43" i="2"/>
  <c r="G34" i="2"/>
  <c r="I34" i="2"/>
  <c r="G75" i="2"/>
  <c r="G25" i="2"/>
  <c r="I25" i="2"/>
  <c r="P59" i="2"/>
  <c r="R59" i="2" s="1"/>
  <c r="T59" i="2" s="1"/>
  <c r="G59" i="2"/>
  <c r="I59" i="2"/>
  <c r="P67" i="2"/>
  <c r="R67" i="2" s="1"/>
  <c r="T67" i="2" s="1"/>
  <c r="G67" i="2"/>
  <c r="I67" i="2"/>
  <c r="I75" i="2"/>
  <c r="P87" i="2" l="1"/>
  <c r="R87" i="2" s="1"/>
  <c r="T87" i="2" s="1"/>
  <c r="P68" i="2"/>
  <c r="R68" i="2" s="1"/>
  <c r="T68" i="2" s="1"/>
  <c r="P49" i="2"/>
  <c r="R49" i="2" s="1"/>
  <c r="T49" i="2" s="1"/>
  <c r="P83" i="2"/>
  <c r="R83" i="2" s="1"/>
  <c r="T83" i="2" s="1"/>
  <c r="P63" i="2"/>
  <c r="R63" i="2" s="1"/>
  <c r="T63" i="2" s="1"/>
  <c r="P70" i="2"/>
  <c r="P71" i="2"/>
  <c r="R71" i="2" s="1"/>
  <c r="T71" i="2" s="1"/>
  <c r="P36" i="2"/>
  <c r="R36" i="2" s="1"/>
  <c r="T36" i="2" s="1"/>
  <c r="P24" i="2"/>
  <c r="R24" i="2" s="1"/>
  <c r="T24" i="2" s="1"/>
  <c r="W12" i="2"/>
  <c r="P23" i="2"/>
  <c r="R23" i="2" s="1"/>
  <c r="T23" i="2" s="1"/>
  <c r="P65" i="2"/>
  <c r="R65" i="2" s="1"/>
  <c r="T65" i="2" s="1"/>
  <c r="P66" i="2"/>
  <c r="R66" i="2" s="1"/>
  <c r="T66" i="2" s="1"/>
  <c r="W11" i="2"/>
  <c r="P32" i="2"/>
  <c r="R32" i="2" s="1"/>
  <c r="T32" i="2" s="1"/>
  <c r="W13" i="2"/>
  <c r="P38" i="2"/>
  <c r="R38" i="2" s="1"/>
  <c r="T38" i="2" s="1"/>
  <c r="P53" i="2"/>
  <c r="R53" i="2" s="1"/>
  <c r="T53" i="2" s="1"/>
  <c r="P41" i="2"/>
  <c r="R41" i="2" s="1"/>
  <c r="T41" i="2" s="1"/>
  <c r="G86" i="2"/>
  <c r="K86" i="2" s="1"/>
  <c r="P86" i="2"/>
  <c r="R86" i="2" s="1"/>
  <c r="T86" i="2" s="1"/>
  <c r="G85" i="2"/>
  <c r="P85" i="2"/>
  <c r="R85" i="2" s="1"/>
  <c r="T85" i="2" s="1"/>
  <c r="W10" i="2"/>
  <c r="P75" i="2"/>
  <c r="R75" i="2" s="1"/>
  <c r="T75" i="2" s="1"/>
  <c r="P43" i="2"/>
  <c r="R43" i="2" s="1"/>
  <c r="T43" i="2" s="1"/>
  <c r="W9" i="2"/>
  <c r="P31" i="2"/>
  <c r="R31" i="2" s="1"/>
  <c r="T31" i="2" s="1"/>
  <c r="P46" i="2"/>
  <c r="R46" i="2" s="1"/>
  <c r="T46" i="2" s="1"/>
  <c r="P22" i="2"/>
  <c r="R22" i="2" s="1"/>
  <c r="T22" i="2" s="1"/>
  <c r="P72" i="2"/>
  <c r="R72" i="2" s="1"/>
  <c r="T72" i="2" s="1"/>
  <c r="P62" i="2"/>
  <c r="R62" i="2" s="1"/>
  <c r="T62" i="2" s="1"/>
  <c r="P29" i="2"/>
  <c r="R29" i="2" s="1"/>
  <c r="T29" i="2" s="1"/>
  <c r="P44" i="2"/>
  <c r="R44" i="2" s="1"/>
  <c r="T44" i="2" s="1"/>
  <c r="W6" i="2"/>
  <c r="P25" i="2"/>
  <c r="R25" i="2" s="1"/>
  <c r="T25" i="2" s="1"/>
  <c r="P82" i="2"/>
  <c r="R82" i="2" s="1"/>
  <c r="T82" i="2" s="1"/>
  <c r="P84" i="2"/>
  <c r="R84" i="2" s="1"/>
  <c r="T84" i="2" s="1"/>
  <c r="P81" i="2"/>
  <c r="R81" i="2" s="1"/>
  <c r="T81" i="2" s="1"/>
  <c r="P73" i="2"/>
  <c r="R73" i="2" s="1"/>
  <c r="T73" i="2" s="1"/>
  <c r="P55" i="2"/>
  <c r="R55" i="2" s="1"/>
  <c r="T55" i="2" s="1"/>
  <c r="P39" i="2"/>
  <c r="R39" i="2" s="1"/>
  <c r="T39" i="2" s="1"/>
  <c r="P54" i="2"/>
  <c r="R54" i="2" s="1"/>
  <c r="T54" i="2" s="1"/>
  <c r="P30" i="2"/>
  <c r="R30" i="2" s="1"/>
  <c r="T30" i="2" s="1"/>
  <c r="P77" i="2"/>
  <c r="R77" i="2" s="1"/>
  <c r="T77" i="2" s="1"/>
  <c r="P37" i="2"/>
  <c r="P74" i="2"/>
  <c r="R74" i="2" s="1"/>
  <c r="T74" i="2" s="1"/>
  <c r="P52" i="2"/>
  <c r="R52" i="2" s="1"/>
  <c r="T52" i="2" s="1"/>
  <c r="P76" i="2"/>
  <c r="R76" i="2" s="1"/>
  <c r="T76" i="2" s="1"/>
  <c r="W2" i="2"/>
  <c r="W3" i="2"/>
  <c r="D15" i="2"/>
  <c r="C19" i="2" s="1"/>
  <c r="P51" i="2"/>
  <c r="R51" i="2" s="1"/>
  <c r="T51" i="2" s="1"/>
  <c r="W7" i="2"/>
  <c r="P27" i="2"/>
  <c r="R27" i="2" s="1"/>
  <c r="T27" i="2" s="1"/>
  <c r="P78" i="2"/>
  <c r="R78" i="2" s="1"/>
  <c r="T78" i="2" s="1"/>
  <c r="P42" i="2"/>
  <c r="R42" i="2" s="1"/>
  <c r="T42" i="2" s="1"/>
  <c r="P80" i="2"/>
  <c r="R80" i="2" s="1"/>
  <c r="T80" i="2" s="1"/>
  <c r="P57" i="2"/>
  <c r="R57" i="2" s="1"/>
  <c r="T57" i="2" s="1"/>
  <c r="P61" i="2"/>
  <c r="R61" i="2" s="1"/>
  <c r="T61" i="2" s="1"/>
  <c r="P40" i="2"/>
  <c r="R40" i="2" s="1"/>
  <c r="T40" i="2" s="1"/>
  <c r="W18" i="2"/>
  <c r="W5" i="2"/>
  <c r="W15" i="2"/>
  <c r="P64" i="2"/>
  <c r="R64" i="2" s="1"/>
  <c r="T64" i="2" s="1"/>
  <c r="P45" i="2"/>
  <c r="R45" i="2" s="1"/>
  <c r="T45" i="2" s="1"/>
  <c r="P21" i="2"/>
  <c r="R21" i="2" s="1"/>
  <c r="T21" i="2" s="1"/>
  <c r="P60" i="2"/>
  <c r="R60" i="2" s="1"/>
  <c r="T60" i="2" s="1"/>
  <c r="P28" i="2"/>
  <c r="R28" i="2" s="1"/>
  <c r="T28" i="2" s="1"/>
  <c r="W4" i="2"/>
  <c r="P34" i="2"/>
  <c r="R34" i="2" s="1"/>
  <c r="T34" i="2" s="1"/>
  <c r="D16" i="2"/>
  <c r="D19" i="2" s="1"/>
  <c r="W8" i="2"/>
  <c r="P35" i="2"/>
  <c r="R35" i="2" s="1"/>
  <c r="T35" i="2" s="1"/>
  <c r="P50" i="2"/>
  <c r="R50" i="2" s="1"/>
  <c r="T50" i="2" s="1"/>
  <c r="P26" i="2"/>
  <c r="R26" i="2" s="1"/>
  <c r="T26" i="2" s="1"/>
  <c r="P33" i="2"/>
  <c r="R33" i="2" s="1"/>
  <c r="T33" i="2" s="1"/>
  <c r="P48" i="2"/>
  <c r="R48" i="2" s="1"/>
  <c r="T48" i="2" s="1"/>
  <c r="C12" i="2"/>
  <c r="C11" i="2"/>
  <c r="C16" i="2" l="1"/>
  <c r="D18" i="2" s="1"/>
  <c r="O85" i="2"/>
  <c r="O86" i="2"/>
  <c r="O87" i="2"/>
  <c r="O51" i="2"/>
  <c r="O82" i="2"/>
  <c r="O62" i="2"/>
  <c r="O56" i="2"/>
  <c r="O84" i="2"/>
  <c r="O64" i="2"/>
  <c r="O60" i="2"/>
  <c r="O70" i="2"/>
  <c r="O79" i="2"/>
  <c r="O41" i="2"/>
  <c r="O48" i="2"/>
  <c r="O39" i="2"/>
  <c r="O68" i="2"/>
  <c r="O33" i="2"/>
  <c r="O53" i="2"/>
  <c r="O24" i="2"/>
  <c r="O77" i="2"/>
  <c r="O66" i="2"/>
  <c r="O43" i="2"/>
  <c r="O80" i="2"/>
  <c r="O21" i="2"/>
  <c r="O31" i="2"/>
  <c r="O74" i="2"/>
  <c r="O67" i="2"/>
  <c r="O71" i="2"/>
  <c r="O61" i="2"/>
  <c r="O49" i="2"/>
  <c r="O72" i="2"/>
  <c r="O35" i="2"/>
  <c r="O44" i="2"/>
  <c r="O59" i="2"/>
  <c r="O55" i="2"/>
  <c r="O32" i="2"/>
  <c r="O76" i="2"/>
  <c r="O42" i="2"/>
  <c r="O57" i="2"/>
  <c r="O83" i="2"/>
  <c r="O30" i="2"/>
  <c r="O78" i="2"/>
  <c r="O69" i="2"/>
  <c r="O54" i="2"/>
  <c r="O29" i="2"/>
  <c r="O50" i="2"/>
  <c r="O37" i="2"/>
  <c r="O26" i="2"/>
  <c r="O47" i="2"/>
  <c r="C15" i="2"/>
  <c r="C18" i="2" s="1"/>
  <c r="O34" i="2"/>
  <c r="O58" i="2"/>
  <c r="O25" i="2"/>
  <c r="O27" i="2"/>
  <c r="O75" i="2"/>
  <c r="O45" i="2"/>
  <c r="O40" i="2"/>
  <c r="O38" i="2"/>
  <c r="O22" i="2"/>
  <c r="O81" i="2"/>
  <c r="O73" i="2"/>
  <c r="O36" i="2"/>
  <c r="O63" i="2"/>
  <c r="O28" i="2"/>
  <c r="O52" i="2"/>
  <c r="O46" i="2"/>
  <c r="O65" i="2"/>
  <c r="O23" i="2"/>
  <c r="K85" i="2"/>
  <c r="E14" i="2"/>
  <c r="F18" i="2" l="1"/>
  <c r="F19" i="2" s="1"/>
</calcChain>
</file>

<file path=xl/sharedStrings.xml><?xml version="1.0" encoding="utf-8"?>
<sst xmlns="http://schemas.openxmlformats.org/spreadsheetml/2006/main" count="683" uniqueCount="298">
  <si>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</si>
  <si>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</si>
  <si>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</si>
  <si>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</si>
  <si>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</si>
  <si>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</si>
  <si>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</si>
  <si>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</si>
  <si>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</si>
  <si>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</si>
  <si>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</si>
  <si>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</si>
  <si>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</si>
  <si>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</si>
  <si>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</si>
  <si>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</si>
  <si>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</si>
  <si>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</si>
  <si>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</si>
  <si>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</si>
  <si>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</si>
  <si>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</si>
  <si>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</si>
  <si>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</si>
  <si>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</si>
  <si>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</si>
  <si>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</si>
  <si>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</si>
  <si>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AG</t>
  </si>
  <si>
    <t>BAVM 132</t>
  </si>
  <si>
    <t>1)</t>
  </si>
  <si>
    <t>FR</t>
  </si>
  <si>
    <t>5)</t>
  </si>
  <si>
    <t>IBVS 5016</t>
  </si>
  <si>
    <t>I</t>
  </si>
  <si>
    <t>pg</t>
  </si>
  <si>
    <t>AJ 64,263</t>
  </si>
  <si>
    <t>K</t>
  </si>
  <si>
    <t>HBZ 28</t>
  </si>
  <si>
    <t>IBVS 5296</t>
  </si>
  <si>
    <t>EA/DM</t>
  </si>
  <si>
    <t>IBVS 5592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</si>
  <si>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</si>
  <si>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</si>
  <si>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</si>
  <si>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</si>
  <si>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</si>
  <si>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</si>
  <si>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</si>
  <si>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</si>
  <si>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</si>
  <si>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5643</t>
  </si>
  <si>
    <t>IBVS 5874</t>
  </si>
  <si>
    <t>IBVS 6070</t>
  </si>
  <si>
    <t>BAD?</t>
  </si>
  <si>
    <t>V0345 Cyg / gsc 2671-0024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</si>
  <si>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</si>
  <si>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</si>
  <si>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</si>
  <si>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</si>
  <si>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</si>
  <si>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</si>
  <si>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</si>
  <si>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</si>
  <si>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</si>
  <si>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</si>
  <si>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</si>
  <si>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</si>
  <si>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IBVS 6157</t>
  </si>
  <si>
    <t>2426595.368 </t>
  </si>
  <si>
    <t> 10.09.1931 20:49 </t>
  </si>
  <si>
    <t> 0.010 </t>
  </si>
  <si>
    <t>P </t>
  </si>
  <si>
    <t> A.A.Wachmann </t>
  </si>
  <si>
    <t> AAAN 11.5.29 </t>
  </si>
  <si>
    <t>2427695.362 </t>
  </si>
  <si>
    <t> 14.09.1934 20:41 </t>
  </si>
  <si>
    <t> -0.008 </t>
  </si>
  <si>
    <t>2428081.466 </t>
  </si>
  <si>
    <t> 05.10.1935 23:11 </t>
  </si>
  <si>
    <t> 0.055 </t>
  </si>
  <si>
    <t>2428332.467 </t>
  </si>
  <si>
    <t> 12.06.1936 23:12 </t>
  </si>
  <si>
    <t> -0.079 </t>
  </si>
  <si>
    <t>2428542.219 </t>
  </si>
  <si>
    <t> 08.01.1937 17:15 </t>
  </si>
  <si>
    <t> 0.048 </t>
  </si>
  <si>
    <t>2428635.612 </t>
  </si>
  <si>
    <t> 12.04.1937 02:41 </t>
  </si>
  <si>
    <t> 0.044 </t>
  </si>
  <si>
    <t>2428847.327 </t>
  </si>
  <si>
    <t> 09.11.1937 19:50 </t>
  </si>
  <si>
    <t> 0.059 </t>
  </si>
  <si>
    <t>2428876.345 </t>
  </si>
  <si>
    <t> 08.12.1937 20:16 </t>
  </si>
  <si>
    <t> 0.020 </t>
  </si>
  <si>
    <t>2429017.533 </t>
  </si>
  <si>
    <t> 29.04.1938 00:47 </t>
  </si>
  <si>
    <t> 0.074 </t>
  </si>
  <si>
    <t>2429071.468 </t>
  </si>
  <si>
    <t> 21.06.1938 23:13 </t>
  </si>
  <si>
    <t> 0.046 </t>
  </si>
  <si>
    <t>2429073.467 </t>
  </si>
  <si>
    <t> 23.06.1938 23:12 </t>
  </si>
  <si>
    <t> -0.030 </t>
  </si>
  <si>
    <t>2429075.500 </t>
  </si>
  <si>
    <t> 26.06.1938 00:00 </t>
  </si>
  <si>
    <t> -0.073 </t>
  </si>
  <si>
    <t>2429785.469 </t>
  </si>
  <si>
    <t> 04.06.1940 23:15 </t>
  </si>
  <si>
    <t> 0.078 </t>
  </si>
  <si>
    <t>2430200.508 </t>
  </si>
  <si>
    <t> 25.07.1941 00:11 </t>
  </si>
  <si>
    <t> 0.018 </t>
  </si>
  <si>
    <t>2432296.728 </t>
  </si>
  <si>
    <t> 21.04.1947 05:28 </t>
  </si>
  <si>
    <t> -0.010 </t>
  </si>
  <si>
    <t> B.S.Whitney </t>
  </si>
  <si>
    <t> AJ 64.263 </t>
  </si>
  <si>
    <t>2432790.724 </t>
  </si>
  <si>
    <t> 27.08.1948 05:22 </t>
  </si>
  <si>
    <t> 0.019 </t>
  </si>
  <si>
    <t>2433201.639 </t>
  </si>
  <si>
    <t> 12.10.1949 03:20 </t>
  </si>
  <si>
    <t> -0.014 </t>
  </si>
  <si>
    <t>2433554.474 </t>
  </si>
  <si>
    <t> 29.09.1950 23:22 </t>
  </si>
  <si>
    <t> -0.012 </t>
  </si>
  <si>
    <t>2433886.559 </t>
  </si>
  <si>
    <t> 28.08.1951 01:24 </t>
  </si>
  <si>
    <t> -0.006 </t>
  </si>
  <si>
    <t>2434301.639 </t>
  </si>
  <si>
    <t> 16.10.1952 03:20 </t>
  </si>
  <si>
    <t> -0.025 </t>
  </si>
  <si>
    <t>2434488.465 </t>
  </si>
  <si>
    <t> 20.04.1953 23:09 </t>
  </si>
  <si>
    <t> 0.007 </t>
  </si>
  <si>
    <t>V </t>
  </si>
  <si>
    <t> R.Szafraniec </t>
  </si>
  <si>
    <t> AAC 5.193 </t>
  </si>
  <si>
    <t>2434633.718 </t>
  </si>
  <si>
    <t> 13.09.1953 05:13 </t>
  </si>
  <si>
    <t>2434652.422 </t>
  </si>
  <si>
    <t> 01.10.1953 22:07 </t>
  </si>
  <si>
    <t> -0.000 </t>
  </si>
  <si>
    <t>2434654.478 </t>
  </si>
  <si>
    <t> 03.10.1953 23:28 </t>
  </si>
  <si>
    <t> -0.020 </t>
  </si>
  <si>
    <t>2435032.227 </t>
  </si>
  <si>
    <t> 16.10.1954 17:26 </t>
  </si>
  <si>
    <t>2435258.449 </t>
  </si>
  <si>
    <t> 30.05.1955 22:46 </t>
  </si>
  <si>
    <t> -0.017 </t>
  </si>
  <si>
    <t> AA 6.142 </t>
  </si>
  <si>
    <t>2435339.429 </t>
  </si>
  <si>
    <t> 19.08.1955 22:17 </t>
  </si>
  <si>
    <t>2435345.628 </t>
  </si>
  <si>
    <t> 26.08.1955 03:04 </t>
  </si>
  <si>
    <t> -0.009 </t>
  </si>
  <si>
    <t>2435366.407 </t>
  </si>
  <si>
    <t> 15.09.1955 21:46 </t>
  </si>
  <si>
    <t> 0.015 </t>
  </si>
  <si>
    <t>2435723.423 </t>
  </si>
  <si>
    <t> 06.09.1956 22:09 </t>
  </si>
  <si>
    <t> AA 7.189 </t>
  </si>
  <si>
    <t>2435748.262 </t>
  </si>
  <si>
    <t> 01.10.1956 18:17 </t>
  </si>
  <si>
    <t> -0.021 </t>
  </si>
  <si>
    <t>2435779.379 </t>
  </si>
  <si>
    <t> 01.11.1956 21:05 </t>
  </si>
  <si>
    <t> -0.036 </t>
  </si>
  <si>
    <t>2436163.379 </t>
  </si>
  <si>
    <t> 20.11.1957 21:05 </t>
  </si>
  <si>
    <t> -0.002 </t>
  </si>
  <si>
    <t> AA 8.190 </t>
  </si>
  <si>
    <t>2436902.264 </t>
  </si>
  <si>
    <t> 29.11.1959 18:20 </t>
  </si>
  <si>
    <t> K.Häussler </t>
  </si>
  <si>
    <t> HABZ 28 </t>
  </si>
  <si>
    <t>2438255.498 </t>
  </si>
  <si>
    <t> 13.08.1963 23:57 </t>
  </si>
  <si>
    <t>2449930.4594 </t>
  </si>
  <si>
    <t> 31.07.1995 23:01 </t>
  </si>
  <si>
    <t> 0.3332 </t>
  </si>
  <si>
    <t>E </t>
  </si>
  <si>
    <t>o</t>
  </si>
  <si>
    <t> F.Agerer </t>
  </si>
  <si>
    <t>BAVM 132 </t>
  </si>
  <si>
    <t>2450700.4823 </t>
  </si>
  <si>
    <t> 08.09.1997 23:34 </t>
  </si>
  <si>
    <t> 0.3482 </t>
  </si>
  <si>
    <t> P.Frank </t>
  </si>
  <si>
    <t>2450750.3096 </t>
  </si>
  <si>
    <t> 28.10.1997 19:25 </t>
  </si>
  <si>
    <t> 0.3637 </t>
  </si>
  <si>
    <t>2450949.5456 </t>
  </si>
  <si>
    <t> 16.05.1998 01:05 </t>
  </si>
  <si>
    <t> 0.3524 </t>
  </si>
  <si>
    <t>2451032.5716 </t>
  </si>
  <si>
    <t> 07.08.1998 01:43 </t>
  </si>
  <si>
    <t> 0.3586 </t>
  </si>
  <si>
    <t>C </t>
  </si>
  <si>
    <t> Frank </t>
  </si>
  <si>
    <t>BAVM 178 </t>
  </si>
  <si>
    <t>2451416.5439 </t>
  </si>
  <si>
    <t> 26.08.1999 01:03 </t>
  </si>
  <si>
    <t> 0.3647 </t>
  </si>
  <si>
    <t>2451468.4288 </t>
  </si>
  <si>
    <t> 16.10.1999 22:17 </t>
  </si>
  <si>
    <t> 0.3623 </t>
  </si>
  <si>
    <t>2451771.4625 </t>
  </si>
  <si>
    <t> 14.08.2000 23:06 </t>
  </si>
  <si>
    <t> 0.3740 </t>
  </si>
  <si>
    <t>BAVM 152 </t>
  </si>
  <si>
    <t>2451773.5417 </t>
  </si>
  <si>
    <t> 17.08.2000 01:00 </t>
  </si>
  <si>
    <t> 0.3777 </t>
  </si>
  <si>
    <t>2451798.4458 </t>
  </si>
  <si>
    <t> 10.09.2000 22:41 </t>
  </si>
  <si>
    <t> 0.3759 </t>
  </si>
  <si>
    <t>2451850.3389 </t>
  </si>
  <si>
    <t> 01.11.2000 20:08 </t>
  </si>
  <si>
    <t> 0.3817 </t>
  </si>
  <si>
    <t>2452448.1043 </t>
  </si>
  <si>
    <t> 22.06.2002 14:30 </t>
  </si>
  <si>
    <t> 0.4051 </t>
  </si>
  <si>
    <t>?</t>
  </si>
  <si>
    <t> Nakajima </t>
  </si>
  <si>
    <t>VSB 40 </t>
  </si>
  <si>
    <t>2452862.4595 </t>
  </si>
  <si>
    <t> 10.08.2003 23:01 </t>
  </si>
  <si>
    <t> 0.6995 </t>
  </si>
  <si>
    <t>BAVM 172 </t>
  </si>
  <si>
    <t>2452890.1978 </t>
  </si>
  <si>
    <t> 07.09.2003 16:44 </t>
  </si>
  <si>
    <t> 0.4186 </t>
  </si>
  <si>
    <t> T.Krajci </t>
  </si>
  <si>
    <t>IBVS 5592 </t>
  </si>
  <si>
    <t>2453639.4754 </t>
  </si>
  <si>
    <t> 25.09.2005 23:24 </t>
  </si>
  <si>
    <t> 0.4432 </t>
  </si>
  <si>
    <t>-I</t>
  </si>
  <si>
    <t>2453662.3041 </t>
  </si>
  <si>
    <t> 18.10.2005 19:17 </t>
  </si>
  <si>
    <t>12058</t>
  </si>
  <si>
    <t> 0.4415 </t>
  </si>
  <si>
    <t> U.Schmidt </t>
  </si>
  <si>
    <t>2453942.5061 </t>
  </si>
  <si>
    <t> 26.07.2006 00:08 </t>
  </si>
  <si>
    <t>12193</t>
  </si>
  <si>
    <t> 0.4520 </t>
  </si>
  <si>
    <t>BAVM 183 </t>
  </si>
  <si>
    <t>2454405.3553 </t>
  </si>
  <si>
    <t> 31.10.2007 20:31 </t>
  </si>
  <si>
    <t>12416</t>
  </si>
  <si>
    <t> 0.4662 </t>
  </si>
  <si>
    <t> M.&amp; C.Rätz </t>
  </si>
  <si>
    <t>BAVM 201 </t>
  </si>
  <si>
    <t>2455096.5230 </t>
  </si>
  <si>
    <t> 22.09.2009 00:33 </t>
  </si>
  <si>
    <t>12749</t>
  </si>
  <si>
    <t> 0.4947 </t>
  </si>
  <si>
    <t>BAVM 212 </t>
  </si>
  <si>
    <t>2455397.4789 </t>
  </si>
  <si>
    <t> 19.07.2010 23:29 </t>
  </si>
  <si>
    <t>12894</t>
  </si>
  <si>
    <t> 0.5042 </t>
  </si>
  <si>
    <t>BAVM 215 </t>
  </si>
  <si>
    <t>2455416.1586 </t>
  </si>
  <si>
    <t> 07.08.2010 15:48 </t>
  </si>
  <si>
    <t>12903</t>
  </si>
  <si>
    <t> 0.5044 </t>
  </si>
  <si>
    <t>Rc</t>
  </si>
  <si>
    <t> K.Shiokawa </t>
  </si>
  <si>
    <t>VSB 51 </t>
  </si>
  <si>
    <t>2456167.5146 </t>
  </si>
  <si>
    <t> 28.08.2012 00:21 </t>
  </si>
  <si>
    <t>13265</t>
  </si>
  <si>
    <t> 0.5320 </t>
  </si>
  <si>
    <t>R</t>
  </si>
  <si>
    <t> M.&amp; K.Rätz </t>
  </si>
  <si>
    <t>BAVM 231 </t>
  </si>
  <si>
    <t>2456933.4042 </t>
  </si>
  <si>
    <t> 02.10.2014 21:42 </t>
  </si>
  <si>
    <t>13634</t>
  </si>
  <si>
    <t> 0.5646 </t>
  </si>
  <si>
    <t>BAVM 241 (=IBVS 6157) 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</si>
  <si>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</si>
  <si>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</si>
  <si>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</si>
  <si>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Add cycle</t>
  </si>
  <si>
    <t>Old Cycle</t>
  </si>
  <si>
    <t>Lin. Ephemeris =</t>
  </si>
  <si>
    <t>Quad. Ephemeris =</t>
  </si>
  <si>
    <t>OEJV 0179</t>
  </si>
  <si>
    <t>VSB 069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</si>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</sst>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11" fontId="0" fillId="0" borderId="0" xfId="0" applyNumberFormat="1" applyAlignment="1"/>
    <xf numFmtId="0" fontId="17" fillId="0" borderId="18" xfId="0" applyFont="1" applyBorder="1" applyAlignment="1"/>
    <xf numFmtId="0" fontId="17" fillId="0" borderId="19" xfId="0" applyFont="1" applyBorder="1" applyAlignment="1"/>
    <xf numFmtId="0" fontId="17" fillId="0" borderId="20" xfId="0" applyFont="1" applyBorder="1" applyAlignment="1"/>
    <xf numFmtId="0" fontId="11" fillId="0" borderId="0" xfId="0" applyFont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Cyg - O-C Diagr.</a:t>
            </a:r>
          </a:p>
        </c:rich>
      </c:tx>
      <c:layout>
        <c:manualLayout>
          <c:xMode val="edge"/>
          <c:yMode val="edge"/>
          <c:x val="0.378417266187050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021582733813"/>
          <c:y val="0.14678942920199375"/>
          <c:w val="0.834532374100719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  <c:pt idx="18">
                  <c:v>-1.359999999840511E-2</c:v>
                </c:pt>
                <c:pt idx="19">
                  <c:v>-1.2409999995725229E-2</c:v>
                </c:pt>
                <c:pt idx="20">
                  <c:v>-6.2899999975343235E-3</c:v>
                </c:pt>
                <c:pt idx="21">
                  <c:v>-2.4889999993320089E-2</c:v>
                </c:pt>
                <c:pt idx="23">
                  <c:v>-2.4769999996351544E-2</c:v>
                </c:pt>
                <c:pt idx="29">
                  <c:v>-8.8690000047790818E-3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E-448A-A8D0-FA47C0D991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9.6190000003844034E-3</c:v>
                </c:pt>
                <c:pt idx="1">
                  <c:v>-7.670999999390915E-3</c:v>
                </c:pt>
                <c:pt idx="2">
                  <c:v>5.4631000002700603E-2</c:v>
                </c:pt>
                <c:pt idx="3">
                  <c:v>-7.9021999998076353E-2</c:v>
                </c:pt>
                <c:pt idx="4">
                  <c:v>4.8185000003286405E-2</c:v>
                </c:pt>
                <c:pt idx="6">
                  <c:v>4.4000000001688022E-2</c:v>
                </c:pt>
                <c:pt idx="7">
                  <c:v>5.8714000002510147E-2</c:v>
                </c:pt>
                <c:pt idx="8">
                  <c:v>1.9812000002275454E-2</c:v>
                </c:pt>
                <c:pt idx="9">
                  <c:v>7.4287999999796739E-2</c:v>
                </c:pt>
                <c:pt idx="10">
                  <c:v>4.6470000001136214E-2</c:v>
                </c:pt>
                <c:pt idx="11">
                  <c:v>-3.0022999999346212E-2</c:v>
                </c:pt>
                <c:pt idx="12">
                  <c:v>-7.2516000000177883E-2</c:v>
                </c:pt>
                <c:pt idx="13">
                  <c:v>7.7878000000055181E-2</c:v>
                </c:pt>
                <c:pt idx="14">
                  <c:v>1.8278000003192574E-2</c:v>
                </c:pt>
                <c:pt idx="15">
                  <c:v>-9.6520000006421469E-3</c:v>
                </c:pt>
                <c:pt idx="17">
                  <c:v>1.9014000004972331E-2</c:v>
                </c:pt>
                <c:pt idx="22">
                  <c:v>6.7399999970803037E-3</c:v>
                </c:pt>
                <c:pt idx="24">
                  <c:v>-2.0699999731732532E-4</c:v>
                </c:pt>
                <c:pt idx="25">
                  <c:v>-1.9699999997101258E-2</c:v>
                </c:pt>
                <c:pt idx="26">
                  <c:v>-1.0426000000734348E-2</c:v>
                </c:pt>
                <c:pt idx="27">
                  <c:v>-1.7162999996799044E-2</c:v>
                </c:pt>
                <c:pt idx="28">
                  <c:v>1.8609999999171123E-2</c:v>
                </c:pt>
                <c:pt idx="30">
                  <c:v>1.5201000001979992E-2</c:v>
                </c:pt>
                <c:pt idx="31">
                  <c:v>4.6405000000959262E-2</c:v>
                </c:pt>
                <c:pt idx="32">
                  <c:v>-2.0510999995167367E-2</c:v>
                </c:pt>
                <c:pt idx="33">
                  <c:v>-3.5905999997339677E-2</c:v>
                </c:pt>
                <c:pt idx="34">
                  <c:v>-2.1109999943291768E-3</c:v>
                </c:pt>
                <c:pt idx="35">
                  <c:v>7.3810000030789524E-3</c:v>
                </c:pt>
                <c:pt idx="36">
                  <c:v>1.9945000000006985E-2</c:v>
                </c:pt>
                <c:pt idx="37">
                  <c:v>0.33322000000771368</c:v>
                </c:pt>
                <c:pt idx="38">
                  <c:v>0.348217000006116</c:v>
                </c:pt>
                <c:pt idx="39">
                  <c:v>0.36368500000389758</c:v>
                </c:pt>
                <c:pt idx="40">
                  <c:v>0.35235699999611825</c:v>
                </c:pt>
                <c:pt idx="41">
                  <c:v>0.35863700000481913</c:v>
                </c:pt>
                <c:pt idx="42">
                  <c:v>0.36473199999454664</c:v>
                </c:pt>
                <c:pt idx="43">
                  <c:v>0.3623070000030566</c:v>
                </c:pt>
                <c:pt idx="44">
                  <c:v>0.37402900000597583</c:v>
                </c:pt>
                <c:pt idx="45">
                  <c:v>0.37773600000946317</c:v>
                </c:pt>
                <c:pt idx="46">
                  <c:v>0.37592000000586268</c:v>
                </c:pt>
                <c:pt idx="47">
                  <c:v>0.38169500000367407</c:v>
                </c:pt>
                <c:pt idx="51">
                  <c:v>0.44322900000406662</c:v>
                </c:pt>
                <c:pt idx="52">
                  <c:v>0.44150600000284612</c:v>
                </c:pt>
                <c:pt idx="53">
                  <c:v>0.45195100000273669</c:v>
                </c:pt>
                <c:pt idx="54">
                  <c:v>0.46621200000663521</c:v>
                </c:pt>
                <c:pt idx="55">
                  <c:v>0.49474300000292715</c:v>
                </c:pt>
                <c:pt idx="56">
                  <c:v>0.50415800000337185</c:v>
                </c:pt>
                <c:pt idx="58">
                  <c:v>0.53195500000583706</c:v>
                </c:pt>
                <c:pt idx="59">
                  <c:v>0.56463800000346964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8E-448A-A8D0-FA47C0D991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8E-448A-A8D0-FA47C0D991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0.40511100000730949</c:v>
                </c:pt>
                <c:pt idx="50">
                  <c:v>0.41860200000519399</c:v>
                </c:pt>
                <c:pt idx="57">
                  <c:v>0.50442100000509527</c:v>
                </c:pt>
                <c:pt idx="60">
                  <c:v>0.57977400000527268</c:v>
                </c:pt>
                <c:pt idx="61">
                  <c:v>0.58068800000182819</c:v>
                </c:pt>
                <c:pt idx="62">
                  <c:v>0.61137500000040745</c:v>
                </c:pt>
                <c:pt idx="63">
                  <c:v>0.65873400000418769</c:v>
                </c:pt>
                <c:pt idx="64">
                  <c:v>0.65439200000400888</c:v>
                </c:pt>
                <c:pt idx="65">
                  <c:v>0.67185700000845827</c:v>
                </c:pt>
                <c:pt idx="66">
                  <c:v>0.70981049999682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8E-448A-A8D0-FA47C0D991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8E-448A-A8D0-FA47C0D991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8E-448A-A8D0-FA47C0D991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8E-448A-A8D0-FA47C0D991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-0.75075781022874088</c:v>
                </c:pt>
                <c:pt idx="1">
                  <c:v>-0.70286373128652091</c:v>
                </c:pt>
                <c:pt idx="2">
                  <c:v>-0.68605562056340219</c:v>
                </c:pt>
                <c:pt idx="3">
                  <c:v>-0.67512131197470671</c:v>
                </c:pt>
                <c:pt idx="4">
                  <c:v>-0.66599432711967987</c:v>
                </c:pt>
                <c:pt idx="5">
                  <c:v>-0.66192784871892529</c:v>
                </c:pt>
                <c:pt idx="6">
                  <c:v>-0.66192784871892529</c:v>
                </c:pt>
                <c:pt idx="7">
                  <c:v>-0.65271049767721501</c:v>
                </c:pt>
                <c:pt idx="8">
                  <c:v>-0.65144537106364697</c:v>
                </c:pt>
                <c:pt idx="9">
                  <c:v>-0.64530047036917348</c:v>
                </c:pt>
                <c:pt idx="10">
                  <c:v>-0.64295094951540421</c:v>
                </c:pt>
                <c:pt idx="11">
                  <c:v>-0.64286058332872076</c:v>
                </c:pt>
                <c:pt idx="12">
                  <c:v>-0.6427702171420373</c:v>
                </c:pt>
                <c:pt idx="13">
                  <c:v>-0.61186498129630285</c:v>
                </c:pt>
                <c:pt idx="14">
                  <c:v>-0.59379174395961609</c:v>
                </c:pt>
                <c:pt idx="15">
                  <c:v>-0.50252189540934777</c:v>
                </c:pt>
                <c:pt idx="16">
                  <c:v>-0.48404201023258553</c:v>
                </c:pt>
                <c:pt idx="17">
                  <c:v>-0.48101474297869046</c:v>
                </c:pt>
                <c:pt idx="18">
                  <c:v>-0.46312223801537056</c:v>
                </c:pt>
                <c:pt idx="19">
                  <c:v>-0.44775998627918678</c:v>
                </c:pt>
                <c:pt idx="20">
                  <c:v>-0.43330139640983734</c:v>
                </c:pt>
                <c:pt idx="21">
                  <c:v>-0.41522815907315053</c:v>
                </c:pt>
                <c:pt idx="22">
                  <c:v>-0.40709520227164148</c:v>
                </c:pt>
                <c:pt idx="23">
                  <c:v>-0.40076956920380108</c:v>
                </c:pt>
                <c:pt idx="24">
                  <c:v>-0.39995627352365021</c:v>
                </c:pt>
                <c:pt idx="25">
                  <c:v>-0.39986590733696675</c:v>
                </c:pt>
                <c:pt idx="26">
                  <c:v>-0.3834192613605818</c:v>
                </c:pt>
                <c:pt idx="27">
                  <c:v>-0.37356934701208749</c:v>
                </c:pt>
                <c:pt idx="28">
                  <c:v>-0.37004506573143353</c:v>
                </c:pt>
                <c:pt idx="29">
                  <c:v>-0.36977396717138322</c:v>
                </c:pt>
                <c:pt idx="30">
                  <c:v>-0.3688703053045489</c:v>
                </c:pt>
                <c:pt idx="31">
                  <c:v>-0.35332732119499827</c:v>
                </c:pt>
                <c:pt idx="32">
                  <c:v>-0.35224292695479703</c:v>
                </c:pt>
                <c:pt idx="33">
                  <c:v>-0.35088743415454554</c:v>
                </c:pt>
                <c:pt idx="34">
                  <c:v>-0.33416968961811028</c:v>
                </c:pt>
                <c:pt idx="35">
                  <c:v>-0.30199932715880773</c:v>
                </c:pt>
                <c:pt idx="36">
                  <c:v>-0.24308057344120881</c:v>
                </c:pt>
                <c:pt idx="37">
                  <c:v>0.26522922665310733</c:v>
                </c:pt>
                <c:pt idx="38">
                  <c:v>0.29875508191266131</c:v>
                </c:pt>
                <c:pt idx="39">
                  <c:v>0.30092387039306379</c:v>
                </c:pt>
                <c:pt idx="40">
                  <c:v>0.30959902431467345</c:v>
                </c:pt>
                <c:pt idx="41">
                  <c:v>0.31321367178201076</c:v>
                </c:pt>
                <c:pt idx="42">
                  <c:v>0.32993141631844602</c:v>
                </c:pt>
                <c:pt idx="43">
                  <c:v>0.33219057098553195</c:v>
                </c:pt>
                <c:pt idx="44">
                  <c:v>0.34538403424131325</c:v>
                </c:pt>
                <c:pt idx="45">
                  <c:v>0.3454744004279966</c:v>
                </c:pt>
                <c:pt idx="46">
                  <c:v>0.34655879466819783</c:v>
                </c:pt>
                <c:pt idx="47">
                  <c:v>0.34881794933528365</c:v>
                </c:pt>
                <c:pt idx="48">
                  <c:v>0.37484341110011266</c:v>
                </c:pt>
                <c:pt idx="49">
                  <c:v>0.39291664843679963</c:v>
                </c:pt>
                <c:pt idx="50">
                  <c:v>0.39409140886368421</c:v>
                </c:pt>
                <c:pt idx="51">
                  <c:v>0.42671360225640376</c:v>
                </c:pt>
                <c:pt idx="52">
                  <c:v>0.42770763030992165</c:v>
                </c:pt>
                <c:pt idx="53">
                  <c:v>0.43990706551218528</c:v>
                </c:pt>
                <c:pt idx="54">
                  <c:v>0.46005872514259094</c:v>
                </c:pt>
                <c:pt idx="55">
                  <c:v>0.49015066530817442</c:v>
                </c:pt>
                <c:pt idx="56">
                  <c:v>0.50325376237727237</c:v>
                </c:pt>
                <c:pt idx="57">
                  <c:v>0.50406705805742336</c:v>
                </c:pt>
                <c:pt idx="58">
                  <c:v>0.53677961763682647</c:v>
                </c:pt>
                <c:pt idx="59">
                  <c:v>0.57012474052301365</c:v>
                </c:pt>
                <c:pt idx="60">
                  <c:v>0.58349893615216186</c:v>
                </c:pt>
                <c:pt idx="61">
                  <c:v>0.5845833303923631</c:v>
                </c:pt>
                <c:pt idx="62">
                  <c:v>0.61449453818457966</c:v>
                </c:pt>
                <c:pt idx="63">
                  <c:v>0.66302118043358371</c:v>
                </c:pt>
                <c:pt idx="64">
                  <c:v>0.66247898331348321</c:v>
                </c:pt>
                <c:pt idx="65">
                  <c:v>0.6801003897167528</c:v>
                </c:pt>
                <c:pt idx="66">
                  <c:v>0.68014557281009447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8E-448A-A8D0-FA47C0D991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">
                  <c:v>-0.45197050000206218</c:v>
                </c:pt>
                <c:pt idx="49">
                  <c:v>-0.33828899999934947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8E-448A-A8D0-FA47C0D991C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5.0385423259655185E-2</c:v>
                </c:pt>
                <c:pt idx="1">
                  <c:v>2.4247807286986521E-2</c:v>
                </c:pt>
                <c:pt idx="2">
                  <c:v>6.3962949015706361E-3</c:v>
                </c:pt>
                <c:pt idx="3">
                  <c:v>-3.1691138965924577E-3</c:v>
                </c:pt>
                <c:pt idx="4">
                  <c:v>-4.4484191075027657E-3</c:v>
                </c:pt>
                <c:pt idx="5">
                  <c:v>2.5583792688397208E-3</c:v>
                </c:pt>
                <c:pt idx="6">
                  <c:v>1.7851281232434985E-2</c:v>
                </c:pt>
                <c:pt idx="7">
                  <c:v>4.1430286783283046E-2</c:v>
                </c:pt>
                <c:pt idx="8">
                  <c:v>7.3295395921383899E-2</c:v>
                </c:pt>
                <c:pt idx="9">
                  <c:v>0.11344660864673754</c:v>
                </c:pt>
                <c:pt idx="10">
                  <c:v>0.16188392495934395</c:v>
                </c:pt>
                <c:pt idx="11">
                  <c:v>0.21860734485920319</c:v>
                </c:pt>
                <c:pt idx="12">
                  <c:v>0.28361686834631517</c:v>
                </c:pt>
                <c:pt idx="13">
                  <c:v>0.35691249542067993</c:v>
                </c:pt>
                <c:pt idx="14">
                  <c:v>0.43849422608229754</c:v>
                </c:pt>
                <c:pt idx="15">
                  <c:v>0.52836206033116795</c:v>
                </c:pt>
                <c:pt idx="16">
                  <c:v>0.62651599816729109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8E-448A-A8D0-FA47C0D99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3288"/>
        <c:axId val="1"/>
      </c:scatterChart>
      <c:valAx>
        <c:axId val="79337328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021582733813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64028776978416"/>
          <c:y val="0.9204921861831491"/>
          <c:w val="0.778417266187050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Cyg - O-C Diagr.</a:t>
            </a:r>
          </a:p>
        </c:rich>
      </c:tx>
      <c:layout>
        <c:manualLayout>
          <c:xMode val="edge"/>
          <c:yMode val="edge"/>
          <c:x val="0.34322820037105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6771799628943"/>
          <c:y val="0.14678942920199375"/>
          <c:w val="0.7977736549165120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  <c:pt idx="18">
                  <c:v>-1.359999999840511E-2</c:v>
                </c:pt>
                <c:pt idx="19">
                  <c:v>-1.2409999995725229E-2</c:v>
                </c:pt>
                <c:pt idx="20">
                  <c:v>-6.2899999975343235E-3</c:v>
                </c:pt>
                <c:pt idx="21">
                  <c:v>-2.4889999993320089E-2</c:v>
                </c:pt>
                <c:pt idx="23">
                  <c:v>-2.4769999996351544E-2</c:v>
                </c:pt>
                <c:pt idx="29">
                  <c:v>-8.8690000047790818E-3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A4-46DA-BC1B-3D7F4BA83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9.6190000003844034E-3</c:v>
                </c:pt>
                <c:pt idx="1">
                  <c:v>-7.670999999390915E-3</c:v>
                </c:pt>
                <c:pt idx="2">
                  <c:v>5.4631000002700603E-2</c:v>
                </c:pt>
                <c:pt idx="3">
                  <c:v>-7.9021999998076353E-2</c:v>
                </c:pt>
                <c:pt idx="4">
                  <c:v>4.8185000003286405E-2</c:v>
                </c:pt>
                <c:pt idx="6">
                  <c:v>4.4000000001688022E-2</c:v>
                </c:pt>
                <c:pt idx="7">
                  <c:v>5.8714000002510147E-2</c:v>
                </c:pt>
                <c:pt idx="8">
                  <c:v>1.9812000002275454E-2</c:v>
                </c:pt>
                <c:pt idx="9">
                  <c:v>7.4287999999796739E-2</c:v>
                </c:pt>
                <c:pt idx="10">
                  <c:v>4.6470000001136214E-2</c:v>
                </c:pt>
                <c:pt idx="11">
                  <c:v>-3.0022999999346212E-2</c:v>
                </c:pt>
                <c:pt idx="12">
                  <c:v>-7.2516000000177883E-2</c:v>
                </c:pt>
                <c:pt idx="13">
                  <c:v>7.7878000000055181E-2</c:v>
                </c:pt>
                <c:pt idx="14">
                  <c:v>1.8278000003192574E-2</c:v>
                </c:pt>
                <c:pt idx="15">
                  <c:v>-9.6520000006421469E-3</c:v>
                </c:pt>
                <c:pt idx="17">
                  <c:v>1.9014000004972331E-2</c:v>
                </c:pt>
                <c:pt idx="22">
                  <c:v>6.7399999970803037E-3</c:v>
                </c:pt>
                <c:pt idx="24">
                  <c:v>-2.0699999731732532E-4</c:v>
                </c:pt>
                <c:pt idx="25">
                  <c:v>-1.9699999997101258E-2</c:v>
                </c:pt>
                <c:pt idx="26">
                  <c:v>-1.0426000000734348E-2</c:v>
                </c:pt>
                <c:pt idx="27">
                  <c:v>-1.7162999996799044E-2</c:v>
                </c:pt>
                <c:pt idx="28">
                  <c:v>1.8609999999171123E-2</c:v>
                </c:pt>
                <c:pt idx="30">
                  <c:v>1.5201000001979992E-2</c:v>
                </c:pt>
                <c:pt idx="31">
                  <c:v>4.6405000000959262E-2</c:v>
                </c:pt>
                <c:pt idx="32">
                  <c:v>-2.0510999995167367E-2</c:v>
                </c:pt>
                <c:pt idx="33">
                  <c:v>-3.5905999997339677E-2</c:v>
                </c:pt>
                <c:pt idx="34">
                  <c:v>-2.1109999943291768E-3</c:v>
                </c:pt>
                <c:pt idx="35">
                  <c:v>7.3810000030789524E-3</c:v>
                </c:pt>
                <c:pt idx="36">
                  <c:v>1.9945000000006985E-2</c:v>
                </c:pt>
                <c:pt idx="37">
                  <c:v>0.33322000000771368</c:v>
                </c:pt>
                <c:pt idx="38">
                  <c:v>0.348217000006116</c:v>
                </c:pt>
                <c:pt idx="39">
                  <c:v>0.36368500000389758</c:v>
                </c:pt>
                <c:pt idx="40">
                  <c:v>0.35235699999611825</c:v>
                </c:pt>
                <c:pt idx="41">
                  <c:v>0.35863700000481913</c:v>
                </c:pt>
                <c:pt idx="42">
                  <c:v>0.36473199999454664</c:v>
                </c:pt>
                <c:pt idx="43">
                  <c:v>0.3623070000030566</c:v>
                </c:pt>
                <c:pt idx="44">
                  <c:v>0.37402900000597583</c:v>
                </c:pt>
                <c:pt idx="45">
                  <c:v>0.37773600000946317</c:v>
                </c:pt>
                <c:pt idx="46">
                  <c:v>0.37592000000586268</c:v>
                </c:pt>
                <c:pt idx="47">
                  <c:v>0.38169500000367407</c:v>
                </c:pt>
                <c:pt idx="51">
                  <c:v>0.44322900000406662</c:v>
                </c:pt>
                <c:pt idx="52">
                  <c:v>0.44150600000284612</c:v>
                </c:pt>
                <c:pt idx="53">
                  <c:v>0.45195100000273669</c:v>
                </c:pt>
                <c:pt idx="54">
                  <c:v>0.46621200000663521</c:v>
                </c:pt>
                <c:pt idx="55">
                  <c:v>0.49474300000292715</c:v>
                </c:pt>
                <c:pt idx="56">
                  <c:v>0.50415800000337185</c:v>
                </c:pt>
                <c:pt idx="58">
                  <c:v>0.53195500000583706</c:v>
                </c:pt>
                <c:pt idx="59">
                  <c:v>0.56463800000346964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A4-46DA-BC1B-3D7F4BA83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4-46DA-BC1B-3D7F4BA83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0.40511100000730949</c:v>
                </c:pt>
                <c:pt idx="50">
                  <c:v>0.41860200000519399</c:v>
                </c:pt>
                <c:pt idx="57">
                  <c:v>0.50442100000509527</c:v>
                </c:pt>
                <c:pt idx="60">
                  <c:v>0.57977400000527268</c:v>
                </c:pt>
                <c:pt idx="61">
                  <c:v>0.58068800000182819</c:v>
                </c:pt>
                <c:pt idx="62">
                  <c:v>0.61137500000040745</c:v>
                </c:pt>
                <c:pt idx="63">
                  <c:v>0.65873400000418769</c:v>
                </c:pt>
                <c:pt idx="64">
                  <c:v>0.65439200000400888</c:v>
                </c:pt>
                <c:pt idx="65">
                  <c:v>0.67185700000845827</c:v>
                </c:pt>
                <c:pt idx="66">
                  <c:v>0.70981049999682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A4-46DA-BC1B-3D7F4BA83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A4-46DA-BC1B-3D7F4BA83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A4-46DA-BC1B-3D7F4BA83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A4-46DA-BC1B-3D7F4BA83D66}"/>
            </c:ext>
          </c:extLst>
        </c:ser>
        <c:ser>
          <c:idx val="7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5.0385423259655185E-2</c:v>
                </c:pt>
                <c:pt idx="1">
                  <c:v>2.4247807286986521E-2</c:v>
                </c:pt>
                <c:pt idx="2">
                  <c:v>6.3962949015706361E-3</c:v>
                </c:pt>
                <c:pt idx="3">
                  <c:v>-3.1691138965924577E-3</c:v>
                </c:pt>
                <c:pt idx="4">
                  <c:v>-4.4484191075027657E-3</c:v>
                </c:pt>
                <c:pt idx="5">
                  <c:v>2.5583792688397208E-3</c:v>
                </c:pt>
                <c:pt idx="6">
                  <c:v>1.7851281232434985E-2</c:v>
                </c:pt>
                <c:pt idx="7">
                  <c:v>4.1430286783283046E-2</c:v>
                </c:pt>
                <c:pt idx="8">
                  <c:v>7.3295395921383899E-2</c:v>
                </c:pt>
                <c:pt idx="9">
                  <c:v>0.11344660864673754</c:v>
                </c:pt>
                <c:pt idx="10">
                  <c:v>0.16188392495934395</c:v>
                </c:pt>
                <c:pt idx="11">
                  <c:v>0.21860734485920319</c:v>
                </c:pt>
                <c:pt idx="12">
                  <c:v>0.28361686834631517</c:v>
                </c:pt>
                <c:pt idx="13">
                  <c:v>0.35691249542067993</c:v>
                </c:pt>
                <c:pt idx="14">
                  <c:v>0.43849422608229754</c:v>
                </c:pt>
                <c:pt idx="15">
                  <c:v>0.52836206033116795</c:v>
                </c:pt>
                <c:pt idx="16">
                  <c:v>0.62651599816729109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A4-46DA-BC1B-3D7F4BA83D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">
                  <c:v>-0.45197050000206218</c:v>
                </c:pt>
                <c:pt idx="49">
                  <c:v>-0.33828899999934947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A4-46DA-BC1B-3D7F4BA8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552"/>
        <c:axId val="1"/>
      </c:scatterChart>
      <c:valAx>
        <c:axId val="79337755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5194805194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552875695733"/>
          <c:y val="0.9204921861831491"/>
          <c:w val="0.8868274582560297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18</xdr:col>
      <xdr:colOff>19050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0E20094B-A5A5-3446-F718-8C836D65C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457200</xdr:colOff>
      <xdr:row>0</xdr:row>
      <xdr:rowOff>0</xdr:rowOff>
    </xdr:from>
    <xdr:to>
      <xdr:col>27</xdr:col>
      <xdr:colOff>133350</xdr:colOff>
      <xdr:row>18</xdr:row>
      <xdr:rowOff>19050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EA845EE4-4589-1EB6-56E7-84FD5E74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592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9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4" customWidth="1"/>
    <col min="20" max="20" width="9.85546875" customWidth="1"/>
  </cols>
  <sheetData>
    <row r="1" spans="1:23" ht="21" thickBot="1" x14ac:dyDescent="0.35">
      <c r="A1" s="1" t="s">
        <v>55</v>
      </c>
      <c r="V1" s="5" t="s">
        <v>10</v>
      </c>
      <c r="W1" s="7" t="s">
        <v>22</v>
      </c>
    </row>
    <row r="2" spans="1:23" x14ac:dyDescent="0.2">
      <c r="A2" t="s">
        <v>24</v>
      </c>
      <c r="B2" s="17" t="s">
        <v>40</v>
      </c>
      <c r="V2">
        <v>-2000</v>
      </c>
      <c r="W2">
        <f>+D$11+D$12*V2+D$13*V2^2</f>
        <v>5.0385423259655185E-2</v>
      </c>
    </row>
    <row r="3" spans="1:23" x14ac:dyDescent="0.2">
      <c r="V3">
        <v>-1000</v>
      </c>
      <c r="W3">
        <f t="shared" ref="W3:W18" si="0">+D$11+D$12*V3+D$13*V3^2</f>
        <v>2.4247807286986521E-2</v>
      </c>
    </row>
    <row r="4" spans="1:23" ht="14.25" thickTop="1" thickBot="1" x14ac:dyDescent="0.25">
      <c r="A4" s="6" t="s">
        <v>1</v>
      </c>
      <c r="C4" s="15">
        <v>28635.567999999999</v>
      </c>
      <c r="D4" s="3">
        <v>2.0754929999999998</v>
      </c>
      <c r="V4">
        <v>0</v>
      </c>
      <c r="W4">
        <f t="shared" si="0"/>
        <v>6.3962949015706361E-3</v>
      </c>
    </row>
    <row r="5" spans="1:23" ht="13.5" thickTop="1" x14ac:dyDescent="0.2">
      <c r="A5" s="19" t="s">
        <v>44</v>
      </c>
      <c r="B5" s="12"/>
      <c r="C5" s="20">
        <v>-9.5</v>
      </c>
      <c r="D5" s="12" t="s">
        <v>45</v>
      </c>
      <c r="V5">
        <v>1000</v>
      </c>
      <c r="W5">
        <f t="shared" si="0"/>
        <v>-3.1691138965924577E-3</v>
      </c>
    </row>
    <row r="6" spans="1:23" x14ac:dyDescent="0.2">
      <c r="A6" s="6" t="s">
        <v>2</v>
      </c>
      <c r="V6">
        <v>2000</v>
      </c>
      <c r="W6">
        <f t="shared" si="0"/>
        <v>-4.4484191075027657E-3</v>
      </c>
    </row>
    <row r="7" spans="1:23" x14ac:dyDescent="0.2">
      <c r="A7" t="s">
        <v>3</v>
      </c>
      <c r="C7" s="14">
        <f>+C4</f>
        <v>28635.567999999999</v>
      </c>
      <c r="V7">
        <v>3000</v>
      </c>
      <c r="W7">
        <f t="shared" si="0"/>
        <v>2.5583792688397208E-3</v>
      </c>
    </row>
    <row r="8" spans="1:23" x14ac:dyDescent="0.2">
      <c r="A8" t="s">
        <v>4</v>
      </c>
      <c r="C8" s="14">
        <f>+D4</f>
        <v>2.0754929999999998</v>
      </c>
      <c r="V8">
        <v>4000</v>
      </c>
      <c r="W8">
        <f t="shared" si="0"/>
        <v>1.7851281232434985E-2</v>
      </c>
    </row>
    <row r="9" spans="1:23" x14ac:dyDescent="0.2">
      <c r="A9" s="31" t="s">
        <v>50</v>
      </c>
      <c r="B9" s="32">
        <v>75</v>
      </c>
      <c r="C9" s="30" t="str">
        <f>"F"&amp;B9</f>
        <v>F75</v>
      </c>
      <c r="D9" s="11" t="str">
        <f>"G"&amp;B9</f>
        <v>G75</v>
      </c>
      <c r="V9">
        <v>5000</v>
      </c>
      <c r="W9">
        <f t="shared" si="0"/>
        <v>4.1430286783283046E-2</v>
      </c>
    </row>
    <row r="10" spans="1:23" ht="13.5" thickBot="1" x14ac:dyDescent="0.25">
      <c r="A10" s="12"/>
      <c r="B10" s="12"/>
      <c r="C10" s="5" t="s">
        <v>20</v>
      </c>
      <c r="D10" s="5" t="s">
        <v>21</v>
      </c>
      <c r="E10" s="12"/>
      <c r="V10">
        <v>6000</v>
      </c>
      <c r="W10">
        <f t="shared" si="0"/>
        <v>7.3295395921383899E-2</v>
      </c>
    </row>
    <row r="11" spans="1:23" x14ac:dyDescent="0.2">
      <c r="A11" s="12" t="s">
        <v>16</v>
      </c>
      <c r="B11" s="12"/>
      <c r="C11" s="29">
        <f ca="1">INTERCEPT(INDIRECT($D$9):G992,INDIRECT($C$9):F992)</f>
        <v>-0.66192784871892529</v>
      </c>
      <c r="D11" s="4">
        <f>E11*F11</f>
        <v>6.3962949015706361E-3</v>
      </c>
      <c r="E11" s="59">
        <v>6.3962949015706361E-3</v>
      </c>
      <c r="F11">
        <v>1</v>
      </c>
      <c r="V11">
        <v>7000</v>
      </c>
      <c r="W11">
        <f t="shared" si="0"/>
        <v>0.11344660864673754</v>
      </c>
    </row>
    <row r="12" spans="1:23" x14ac:dyDescent="0.2">
      <c r="A12" s="12" t="s">
        <v>17</v>
      </c>
      <c r="B12" s="12"/>
      <c r="C12" s="29">
        <f ca="1">SLOPE(INDIRECT($D$9):G992,INDIRECT($C$9):F992)</f>
        <v>9.0366186683433979E-5</v>
      </c>
      <c r="D12" s="4">
        <f>E12*F12</f>
        <v>-1.3708460591789487E-5</v>
      </c>
      <c r="E12" s="60">
        <v>-0.13708460591789487</v>
      </c>
      <c r="F12" s="58">
        <v>1E-4</v>
      </c>
      <c r="V12">
        <v>8000</v>
      </c>
      <c r="W12">
        <f t="shared" si="0"/>
        <v>0.16188392495934395</v>
      </c>
    </row>
    <row r="13" spans="1:23" ht="13.5" thickBot="1" x14ac:dyDescent="0.25">
      <c r="A13" s="12" t="s">
        <v>19</v>
      </c>
      <c r="B13" s="12"/>
      <c r="C13" s="4" t="s">
        <v>14</v>
      </c>
      <c r="D13" s="4">
        <f>E13*F13</f>
        <v>4.1430517936263941E-9</v>
      </c>
      <c r="E13" s="61">
        <v>0.41430517936263944</v>
      </c>
      <c r="F13" s="58">
        <v>1E-8</v>
      </c>
      <c r="V13">
        <v>9000</v>
      </c>
      <c r="W13">
        <f t="shared" si="0"/>
        <v>0.21860734485920319</v>
      </c>
    </row>
    <row r="14" spans="1:23" x14ac:dyDescent="0.2">
      <c r="A14" s="12"/>
      <c r="B14" s="12"/>
      <c r="C14" s="12"/>
      <c r="E14" s="11">
        <f>SUM(T21:T9295)</f>
        <v>1.2677710739857545E-2</v>
      </c>
      <c r="V14">
        <v>10000</v>
      </c>
      <c r="W14">
        <f t="shared" si="0"/>
        <v>0.28361686834631517</v>
      </c>
    </row>
    <row r="15" spans="1:23" x14ac:dyDescent="0.2">
      <c r="A15" s="21" t="s">
        <v>18</v>
      </c>
      <c r="B15" s="12"/>
      <c r="C15" s="22">
        <f ca="1">(C7+C11)+(C8+C12)*INT(MAX(F21:F3533))</f>
        <v>59459.394643389707</v>
      </c>
      <c r="D15" s="68">
        <f>+C7+INT(MAX(F21:F1583))*C8+D11+D12*INT(MAX(F21:F4018))+D13*INT(MAX(F21:F4045)^2)</f>
        <v>59459.431175667043</v>
      </c>
      <c r="E15" s="23" t="s">
        <v>290</v>
      </c>
      <c r="F15" s="63">
        <v>1</v>
      </c>
      <c r="R15" t="s">
        <v>35</v>
      </c>
      <c r="S15" s="4">
        <v>0.2</v>
      </c>
      <c r="V15">
        <v>11000</v>
      </c>
      <c r="W15">
        <f t="shared" si="0"/>
        <v>0.35691249542067993</v>
      </c>
    </row>
    <row r="16" spans="1:23" x14ac:dyDescent="0.2">
      <c r="A16" s="25" t="s">
        <v>5</v>
      </c>
      <c r="B16" s="12"/>
      <c r="C16" s="26">
        <f ca="1">+C8+C12</f>
        <v>2.0755833661866832</v>
      </c>
      <c r="D16" s="68">
        <f>+C8+D12+2*D13*MAX(F21:F896)</f>
        <v>2.0756023526068339</v>
      </c>
      <c r="E16" s="23" t="s">
        <v>46</v>
      </c>
      <c r="F16" s="24">
        <f ca="1">NOW()+15018.5+$C$5/24</f>
        <v>59956.830629166667</v>
      </c>
      <c r="R16" t="s">
        <v>66</v>
      </c>
      <c r="S16" s="4">
        <v>0.1</v>
      </c>
      <c r="V16">
        <v>12000</v>
      </c>
      <c r="W16">
        <f t="shared" si="0"/>
        <v>0.43849422608229754</v>
      </c>
    </row>
    <row r="17" spans="1:32" ht="13.5" thickBot="1" x14ac:dyDescent="0.25">
      <c r="A17" s="23" t="s">
        <v>42</v>
      </c>
      <c r="B17" s="12"/>
      <c r="C17" s="12">
        <f>COUNT(C21:C2191)</f>
        <v>67</v>
      </c>
      <c r="E17" s="23" t="s">
        <v>291</v>
      </c>
      <c r="F17" s="24">
        <f ca="1">ROUND(2*(F16-$C$7)/$C$8,0)/2+F15</f>
        <v>15092</v>
      </c>
      <c r="R17" t="s">
        <v>61</v>
      </c>
      <c r="S17" s="4">
        <v>1</v>
      </c>
      <c r="V17">
        <v>13000</v>
      </c>
      <c r="W17">
        <f t="shared" si="0"/>
        <v>0.52836206033116795</v>
      </c>
    </row>
    <row r="18" spans="1:32" ht="14.25" thickTop="1" thickBot="1" x14ac:dyDescent="0.25">
      <c r="A18" s="64" t="s">
        <v>292</v>
      </c>
      <c r="B18" s="12"/>
      <c r="C18" s="69">
        <f ca="1">+C15</f>
        <v>59459.394643389707</v>
      </c>
      <c r="D18" s="70">
        <f ca="1">+C16</f>
        <v>2.0755833661866832</v>
      </c>
      <c r="E18" s="23" t="s">
        <v>47</v>
      </c>
      <c r="F18" s="11">
        <f ca="1">ROUND(2*(F16-$C$15)/$C$16,0)/2+F15</f>
        <v>240.5</v>
      </c>
      <c r="R18" t="s">
        <v>59</v>
      </c>
      <c r="S18" s="4">
        <v>1</v>
      </c>
      <c r="V18">
        <v>14000</v>
      </c>
      <c r="W18">
        <f t="shared" si="0"/>
        <v>0.62651599816729109</v>
      </c>
    </row>
    <row r="19" spans="1:32" ht="14.25" thickTop="1" thickBot="1" x14ac:dyDescent="0.25">
      <c r="A19" s="65" t="s">
        <v>293</v>
      </c>
      <c r="C19" s="66">
        <f>+D15</f>
        <v>59459.431175667043</v>
      </c>
      <c r="D19" s="67">
        <f>+D16</f>
        <v>2.0756023526068339</v>
      </c>
      <c r="E19" s="23" t="s">
        <v>48</v>
      </c>
      <c r="F19" s="27">
        <f ca="1">+$C$15+$C$16*F18-15018.5-$C$5/24</f>
        <v>44940.468276290943</v>
      </c>
    </row>
    <row r="20" spans="1:32" ht="15" thickBot="1" x14ac:dyDescent="0.25">
      <c r="A20" s="5" t="s">
        <v>6</v>
      </c>
      <c r="B20" s="5" t="s">
        <v>7</v>
      </c>
      <c r="C20" s="16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35</v>
      </c>
      <c r="I20" s="8" t="s">
        <v>66</v>
      </c>
      <c r="J20" s="8" t="s">
        <v>61</v>
      </c>
      <c r="K20" s="8" t="s">
        <v>59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7" t="s">
        <v>287</v>
      </c>
      <c r="S20" s="7" t="s">
        <v>288</v>
      </c>
      <c r="T20" s="7" t="s">
        <v>289</v>
      </c>
      <c r="U20" s="40" t="s">
        <v>54</v>
      </c>
    </row>
    <row r="21" spans="1:32" x14ac:dyDescent="0.2">
      <c r="A21" s="55" t="s">
        <v>74</v>
      </c>
      <c r="B21" s="56" t="s">
        <v>34</v>
      </c>
      <c r="C21" s="55">
        <v>26595.367999999999</v>
      </c>
      <c r="D21" s="55" t="s">
        <v>66</v>
      </c>
      <c r="E21">
        <f t="shared" ref="E21:E52" si="1">+(C21-C$7)/C$8</f>
        <v>-982.99536543847694</v>
      </c>
      <c r="F21">
        <f t="shared" ref="F21:F52" si="2">ROUND(2*E21,0)/2</f>
        <v>-983</v>
      </c>
      <c r="G21">
        <f t="shared" ref="G21:G36" si="3">+C21-(C$7+F21*C$8)</f>
        <v>9.6190000003844034E-3</v>
      </c>
      <c r="I21">
        <f>G21</f>
        <v>9.6190000003844034E-3</v>
      </c>
      <c r="O21">
        <f t="shared" ref="O21:O52" ca="1" si="4">+C$11+C$12*F21</f>
        <v>-0.75075781022874088</v>
      </c>
      <c r="P21" s="62">
        <f t="shared" ref="P21:P52" si="5">+D$11+D$12*F21+D$13*F21^2</f>
        <v>2.3875097037911155E-2</v>
      </c>
      <c r="Q21" s="2">
        <f t="shared" ref="Q21:Q52" si="6">+C21-15018.5</f>
        <v>11576.867999999999</v>
      </c>
      <c r="R21">
        <f t="shared" ref="R21:R36" si="7">(P21-G21)^2</f>
        <v>2.0323630274337901E-4</v>
      </c>
      <c r="S21" s="4">
        <f>S$16</f>
        <v>0.1</v>
      </c>
      <c r="T21">
        <f t="shared" ref="T21:T52" si="8">+S21*R21</f>
        <v>2.0323630274337903E-5</v>
      </c>
    </row>
    <row r="22" spans="1:32" x14ac:dyDescent="0.2">
      <c r="A22" s="55" t="s">
        <v>74</v>
      </c>
      <c r="B22" s="57" t="s">
        <v>34</v>
      </c>
      <c r="C22" s="55">
        <v>27695.362000000001</v>
      </c>
      <c r="D22" s="55" t="s">
        <v>66</v>
      </c>
      <c r="E22">
        <f t="shared" si="1"/>
        <v>-453.00369598933764</v>
      </c>
      <c r="F22">
        <f t="shared" si="2"/>
        <v>-453</v>
      </c>
      <c r="G22">
        <f t="shared" si="3"/>
        <v>-7.670999999390915E-3</v>
      </c>
      <c r="I22">
        <f>G22</f>
        <v>-7.670999999390915E-3</v>
      </c>
      <c r="O22">
        <f t="shared" ca="1" si="4"/>
        <v>-0.70286373128652091</v>
      </c>
      <c r="P22" s="62">
        <f t="shared" si="5"/>
        <v>1.3456419065169553E-2</v>
      </c>
      <c r="Q22" s="2">
        <f t="shared" si="6"/>
        <v>12676.862000000001</v>
      </c>
      <c r="R22">
        <f t="shared" si="7"/>
        <v>4.4636783632955317E-4</v>
      </c>
      <c r="S22" s="4">
        <f>S$16</f>
        <v>0.1</v>
      </c>
      <c r="T22">
        <f t="shared" si="8"/>
        <v>4.4636783632955317E-5</v>
      </c>
    </row>
    <row r="23" spans="1:32" x14ac:dyDescent="0.2">
      <c r="A23" s="55" t="s">
        <v>74</v>
      </c>
      <c r="B23" s="57" t="s">
        <v>34</v>
      </c>
      <c r="C23" s="55">
        <v>28081.466</v>
      </c>
      <c r="D23" s="55" t="s">
        <v>66</v>
      </c>
      <c r="E23">
        <f t="shared" si="1"/>
        <v>-266.9736780610674</v>
      </c>
      <c r="F23">
        <f t="shared" si="2"/>
        <v>-267</v>
      </c>
      <c r="G23">
        <f t="shared" si="3"/>
        <v>5.4631000002700603E-2</v>
      </c>
      <c r="I23">
        <f>G23</f>
        <v>5.4631000002700603E-2</v>
      </c>
      <c r="O23">
        <f t="shared" ca="1" si="4"/>
        <v>-0.68605562056340219</v>
      </c>
      <c r="P23" s="62">
        <f t="shared" si="5"/>
        <v>1.035180789889426E-2</v>
      </c>
      <c r="Q23" s="2">
        <f t="shared" si="6"/>
        <v>13062.966</v>
      </c>
      <c r="R23">
        <f t="shared" si="7"/>
        <v>1.9606468533657859E-3</v>
      </c>
      <c r="S23" s="4">
        <f>S$16</f>
        <v>0.1</v>
      </c>
      <c r="T23">
        <f t="shared" si="8"/>
        <v>1.9606468533657861E-4</v>
      </c>
    </row>
    <row r="24" spans="1:32" x14ac:dyDescent="0.2">
      <c r="A24" s="55" t="s">
        <v>74</v>
      </c>
      <c r="B24" s="57" t="s">
        <v>34</v>
      </c>
      <c r="C24" s="55">
        <v>28332.467000000001</v>
      </c>
      <c r="D24" s="55" t="s">
        <v>66</v>
      </c>
      <c r="E24">
        <f t="shared" si="1"/>
        <v>-146.03807384558695</v>
      </c>
      <c r="F24">
        <f t="shared" si="2"/>
        <v>-146</v>
      </c>
      <c r="G24">
        <f t="shared" si="3"/>
        <v>-7.9021999998076353E-2</v>
      </c>
      <c r="I24">
        <f>G24</f>
        <v>-7.9021999998076353E-2</v>
      </c>
      <c r="O24">
        <f t="shared" ca="1" si="4"/>
        <v>-0.67512131197470671</v>
      </c>
      <c r="P24" s="62">
        <f t="shared" si="5"/>
        <v>8.486043440004842E-3</v>
      </c>
      <c r="Q24" s="2">
        <f t="shared" si="6"/>
        <v>13313.967000000001</v>
      </c>
      <c r="R24">
        <f t="shared" si="7"/>
        <v>7.6576576663611043E-3</v>
      </c>
      <c r="S24" s="4">
        <f>S$16</f>
        <v>0.1</v>
      </c>
      <c r="T24">
        <f t="shared" si="8"/>
        <v>7.6576576663611045E-4</v>
      </c>
    </row>
    <row r="25" spans="1:32" x14ac:dyDescent="0.2">
      <c r="A25" s="55" t="s">
        <v>74</v>
      </c>
      <c r="B25" s="57" t="s">
        <v>34</v>
      </c>
      <c r="C25" s="55">
        <v>28542.219000000001</v>
      </c>
      <c r="D25" s="55" t="s">
        <v>66</v>
      </c>
      <c r="E25">
        <f t="shared" si="1"/>
        <v>-44.97678382919063</v>
      </c>
      <c r="F25">
        <f t="shared" si="2"/>
        <v>-45</v>
      </c>
      <c r="G25">
        <f t="shared" si="3"/>
        <v>4.8185000003286405E-2</v>
      </c>
      <c r="I25">
        <f>G25</f>
        <v>4.8185000003286405E-2</v>
      </c>
      <c r="O25">
        <f t="shared" ca="1" si="4"/>
        <v>-0.66599432711967987</v>
      </c>
      <c r="P25" s="62">
        <f t="shared" si="5"/>
        <v>7.0215653080832564E-3</v>
      </c>
      <c r="Q25" s="2">
        <f t="shared" si="6"/>
        <v>13523.719000000001</v>
      </c>
      <c r="R25">
        <f t="shared" si="7"/>
        <v>1.6944283559062545E-3</v>
      </c>
      <c r="S25" s="4">
        <f>S$16</f>
        <v>0.1</v>
      </c>
      <c r="T25">
        <f t="shared" si="8"/>
        <v>1.6944283559062545E-4</v>
      </c>
    </row>
    <row r="26" spans="1:32" x14ac:dyDescent="0.2">
      <c r="A26" t="s">
        <v>12</v>
      </c>
      <c r="C26" s="28">
        <v>28635.567999999999</v>
      </c>
      <c r="D26" s="28" t="s">
        <v>14</v>
      </c>
      <c r="E26">
        <f t="shared" si="1"/>
        <v>0</v>
      </c>
      <c r="F26">
        <f t="shared" si="2"/>
        <v>0</v>
      </c>
      <c r="G26">
        <f t="shared" si="3"/>
        <v>0</v>
      </c>
      <c r="H26">
        <f>+G26</f>
        <v>0</v>
      </c>
      <c r="O26">
        <f t="shared" ca="1" si="4"/>
        <v>-0.66192784871892529</v>
      </c>
      <c r="P26" s="62">
        <f t="shared" si="5"/>
        <v>6.3962949015706361E-3</v>
      </c>
      <c r="Q26" s="2">
        <f t="shared" si="6"/>
        <v>13617.067999999999</v>
      </c>
      <c r="R26">
        <f t="shared" si="7"/>
        <v>4.0912588467858512E-5</v>
      </c>
      <c r="S26" s="4">
        <f>S$15</f>
        <v>0.2</v>
      </c>
      <c r="T26">
        <f t="shared" si="8"/>
        <v>8.1825176935717021E-6</v>
      </c>
    </row>
    <row r="27" spans="1:32" x14ac:dyDescent="0.2">
      <c r="A27" s="55" t="s">
        <v>74</v>
      </c>
      <c r="B27" s="57" t="s">
        <v>34</v>
      </c>
      <c r="C27" s="55">
        <v>28635.612000000001</v>
      </c>
      <c r="D27" s="55" t="s">
        <v>66</v>
      </c>
      <c r="E27">
        <f t="shared" si="1"/>
        <v>2.1199782413955637E-2</v>
      </c>
      <c r="F27">
        <f t="shared" si="2"/>
        <v>0</v>
      </c>
      <c r="G27">
        <f t="shared" si="3"/>
        <v>4.4000000001688022E-2</v>
      </c>
      <c r="I27">
        <f t="shared" ref="I27:I36" si="9">G27</f>
        <v>4.4000000001688022E-2</v>
      </c>
      <c r="O27">
        <f t="shared" ca="1" si="4"/>
        <v>-0.66192784871892529</v>
      </c>
      <c r="P27" s="62">
        <f t="shared" si="5"/>
        <v>6.3962949015706361E-3</v>
      </c>
      <c r="Q27" s="2">
        <f t="shared" si="6"/>
        <v>13617.112000000001</v>
      </c>
      <c r="R27">
        <f t="shared" si="7"/>
        <v>1.4140386372565943E-3</v>
      </c>
      <c r="S27" s="4">
        <f t="shared" ref="S27:S36" si="10">S$16</f>
        <v>0.1</v>
      </c>
      <c r="T27">
        <f t="shared" si="8"/>
        <v>1.4140386372565945E-4</v>
      </c>
    </row>
    <row r="28" spans="1:32" x14ac:dyDescent="0.2">
      <c r="A28" s="55" t="s">
        <v>74</v>
      </c>
      <c r="B28" s="57" t="s">
        <v>34</v>
      </c>
      <c r="C28" s="55">
        <v>28847.327000000001</v>
      </c>
      <c r="D28" s="55" t="s">
        <v>66</v>
      </c>
      <c r="E28">
        <f t="shared" si="1"/>
        <v>102.02828918237829</v>
      </c>
      <c r="F28">
        <f t="shared" si="2"/>
        <v>102</v>
      </c>
      <c r="G28">
        <f t="shared" si="3"/>
        <v>5.8714000002510147E-2</v>
      </c>
      <c r="I28">
        <f t="shared" si="9"/>
        <v>5.8714000002510147E-2</v>
      </c>
      <c r="O28">
        <f t="shared" ca="1" si="4"/>
        <v>-0.65271049767721501</v>
      </c>
      <c r="P28" s="62">
        <f t="shared" si="5"/>
        <v>5.0411362320689967E-3</v>
      </c>
      <c r="Q28" s="2">
        <f t="shared" si="6"/>
        <v>13828.827000000001</v>
      </c>
      <c r="R28">
        <f t="shared" si="7"/>
        <v>2.8807763053203339E-3</v>
      </c>
      <c r="S28" s="4">
        <f t="shared" si="10"/>
        <v>0.1</v>
      </c>
      <c r="T28">
        <f t="shared" si="8"/>
        <v>2.8807763053203341E-4</v>
      </c>
    </row>
    <row r="29" spans="1:32" x14ac:dyDescent="0.2">
      <c r="A29" s="55" t="s">
        <v>74</v>
      </c>
      <c r="B29" s="57" t="s">
        <v>34</v>
      </c>
      <c r="C29" s="55">
        <v>28876.345000000001</v>
      </c>
      <c r="D29" s="55" t="s">
        <v>66</v>
      </c>
      <c r="E29">
        <f t="shared" si="1"/>
        <v>116.00954568384566</v>
      </c>
      <c r="F29">
        <f t="shared" si="2"/>
        <v>116</v>
      </c>
      <c r="G29">
        <f t="shared" si="3"/>
        <v>1.9812000002275454E-2</v>
      </c>
      <c r="I29">
        <f t="shared" si="9"/>
        <v>1.9812000002275454E-2</v>
      </c>
      <c r="O29">
        <f t="shared" ca="1" si="4"/>
        <v>-0.65144537106364697</v>
      </c>
      <c r="P29" s="62">
        <f t="shared" si="5"/>
        <v>4.8618623778580927E-3</v>
      </c>
      <c r="Q29" s="2">
        <f t="shared" si="6"/>
        <v>13857.845000000001</v>
      </c>
      <c r="R29">
        <f t="shared" si="7"/>
        <v>2.2350661498901956E-4</v>
      </c>
      <c r="S29" s="4">
        <f t="shared" si="10"/>
        <v>0.1</v>
      </c>
      <c r="T29">
        <f t="shared" si="8"/>
        <v>2.2350661498901958E-5</v>
      </c>
    </row>
    <row r="30" spans="1:32" x14ac:dyDescent="0.2">
      <c r="A30" s="55" t="s">
        <v>74</v>
      </c>
      <c r="B30" s="57" t="s">
        <v>34</v>
      </c>
      <c r="C30" s="55">
        <v>29017.532999999999</v>
      </c>
      <c r="D30" s="55" t="s">
        <v>66</v>
      </c>
      <c r="E30">
        <f t="shared" si="1"/>
        <v>184.03579294172525</v>
      </c>
      <c r="F30">
        <f t="shared" si="2"/>
        <v>184</v>
      </c>
      <c r="G30">
        <f t="shared" si="3"/>
        <v>7.4287999999796739E-2</v>
      </c>
      <c r="I30">
        <f t="shared" si="9"/>
        <v>7.4287999999796739E-2</v>
      </c>
      <c r="O30">
        <f t="shared" ca="1" si="4"/>
        <v>-0.64530047036917348</v>
      </c>
      <c r="P30" s="62">
        <f t="shared" si="5"/>
        <v>4.0142053142063856E-3</v>
      </c>
      <c r="Q30" s="2">
        <f t="shared" si="6"/>
        <v>13999.032999999999</v>
      </c>
      <c r="R30">
        <f t="shared" si="7"/>
        <v>4.9384062195125065E-3</v>
      </c>
      <c r="S30" s="4">
        <f t="shared" si="10"/>
        <v>0.1</v>
      </c>
      <c r="T30">
        <f t="shared" si="8"/>
        <v>4.9384062195125065E-4</v>
      </c>
    </row>
    <row r="31" spans="1:32" x14ac:dyDescent="0.2">
      <c r="A31" s="55" t="s">
        <v>74</v>
      </c>
      <c r="B31" s="57" t="s">
        <v>34</v>
      </c>
      <c r="C31" s="55">
        <v>29071.468000000001</v>
      </c>
      <c r="D31" s="55" t="s">
        <v>66</v>
      </c>
      <c r="E31">
        <f t="shared" si="1"/>
        <v>210.02238986110842</v>
      </c>
      <c r="F31">
        <f t="shared" si="2"/>
        <v>210</v>
      </c>
      <c r="G31">
        <f t="shared" si="3"/>
        <v>4.6470000001136214E-2</v>
      </c>
      <c r="I31">
        <f t="shared" si="9"/>
        <v>4.6470000001136214E-2</v>
      </c>
      <c r="O31">
        <f t="shared" ca="1" si="4"/>
        <v>-0.64295094951540421</v>
      </c>
      <c r="P31" s="62">
        <f t="shared" si="5"/>
        <v>3.7002267613937679E-3</v>
      </c>
      <c r="Q31" s="2">
        <f t="shared" si="6"/>
        <v>14052.968000000001</v>
      </c>
      <c r="R31">
        <f t="shared" si="7"/>
        <v>1.8292535029789891E-3</v>
      </c>
      <c r="S31" s="4">
        <f t="shared" si="10"/>
        <v>0.1</v>
      </c>
      <c r="T31">
        <f t="shared" si="8"/>
        <v>1.8292535029789891E-4</v>
      </c>
      <c r="AD31" t="s">
        <v>35</v>
      </c>
      <c r="AF31" t="s">
        <v>37</v>
      </c>
    </row>
    <row r="32" spans="1:32" x14ac:dyDescent="0.2">
      <c r="A32" s="55" t="s">
        <v>74</v>
      </c>
      <c r="B32" s="57" t="s">
        <v>34</v>
      </c>
      <c r="C32" s="55">
        <v>29073.467000000001</v>
      </c>
      <c r="D32" s="55" t="s">
        <v>66</v>
      </c>
      <c r="E32">
        <f t="shared" si="1"/>
        <v>210.98553452119631</v>
      </c>
      <c r="F32">
        <f t="shared" si="2"/>
        <v>211</v>
      </c>
      <c r="G32">
        <f t="shared" si="3"/>
        <v>-3.0022999999346212E-2</v>
      </c>
      <c r="I32">
        <f t="shared" si="9"/>
        <v>-3.0022999999346212E-2</v>
      </c>
      <c r="O32">
        <f t="shared" ca="1" si="4"/>
        <v>-0.64286058332872076</v>
      </c>
      <c r="P32" s="62">
        <f t="shared" si="5"/>
        <v>3.6882625256070951E-3</v>
      </c>
      <c r="Q32" s="2">
        <f t="shared" si="6"/>
        <v>14054.967000000001</v>
      </c>
      <c r="R32">
        <f t="shared" si="7"/>
        <v>1.1364492210263213E-3</v>
      </c>
      <c r="S32" s="4">
        <f t="shared" si="10"/>
        <v>0.1</v>
      </c>
      <c r="T32">
        <f t="shared" si="8"/>
        <v>1.1364492210263214E-4</v>
      </c>
    </row>
    <row r="33" spans="1:32" x14ac:dyDescent="0.2">
      <c r="A33" s="55" t="s">
        <v>74</v>
      </c>
      <c r="B33" s="57" t="s">
        <v>34</v>
      </c>
      <c r="C33" s="55">
        <v>29075.5</v>
      </c>
      <c r="D33" s="55" t="s">
        <v>66</v>
      </c>
      <c r="E33">
        <f t="shared" si="1"/>
        <v>211.96506083133056</v>
      </c>
      <c r="F33">
        <f t="shared" si="2"/>
        <v>212</v>
      </c>
      <c r="G33">
        <f t="shared" si="3"/>
        <v>-7.2516000000177883E-2</v>
      </c>
      <c r="I33">
        <f t="shared" si="9"/>
        <v>-7.2516000000177883E-2</v>
      </c>
      <c r="O33">
        <f t="shared" ca="1" si="4"/>
        <v>-0.6427702171420373</v>
      </c>
      <c r="P33" s="62">
        <f t="shared" si="5"/>
        <v>3.6763065759240093E-3</v>
      </c>
      <c r="Q33" s="2">
        <f t="shared" si="6"/>
        <v>14057</v>
      </c>
      <c r="R33">
        <f t="shared" si="7"/>
        <v>5.8052675813866994E-3</v>
      </c>
      <c r="S33" s="4">
        <f t="shared" si="10"/>
        <v>0.1</v>
      </c>
      <c r="T33">
        <f t="shared" si="8"/>
        <v>5.8052675813866994E-4</v>
      </c>
      <c r="AD33" t="s">
        <v>35</v>
      </c>
      <c r="AF33" t="s">
        <v>37</v>
      </c>
    </row>
    <row r="34" spans="1:32" x14ac:dyDescent="0.2">
      <c r="A34" s="55" t="s">
        <v>74</v>
      </c>
      <c r="B34" s="57" t="s">
        <v>34</v>
      </c>
      <c r="C34" s="55">
        <v>29785.469000000001</v>
      </c>
      <c r="D34" s="55" t="s">
        <v>66</v>
      </c>
      <c r="E34">
        <f t="shared" si="1"/>
        <v>554.03752265124569</v>
      </c>
      <c r="F34">
        <f t="shared" si="2"/>
        <v>554</v>
      </c>
      <c r="G34">
        <f t="shared" si="3"/>
        <v>7.7878000000055181E-2</v>
      </c>
      <c r="I34">
        <f t="shared" si="9"/>
        <v>7.7878000000055181E-2</v>
      </c>
      <c r="O34">
        <f t="shared" ca="1" si="4"/>
        <v>-0.61186498129630285</v>
      </c>
      <c r="P34" s="62">
        <f t="shared" si="5"/>
        <v>7.3376618011898815E-5</v>
      </c>
      <c r="Q34" s="2">
        <f t="shared" si="6"/>
        <v>14766.969000000001</v>
      </c>
      <c r="R34">
        <f t="shared" si="7"/>
        <v>6.0535594196215953E-3</v>
      </c>
      <c r="S34" s="4">
        <f t="shared" si="10"/>
        <v>0.1</v>
      </c>
      <c r="T34">
        <f t="shared" si="8"/>
        <v>6.0535594196215955E-4</v>
      </c>
    </row>
    <row r="35" spans="1:32" x14ac:dyDescent="0.2">
      <c r="A35" s="55" t="s">
        <v>74</v>
      </c>
      <c r="B35" s="57" t="s">
        <v>34</v>
      </c>
      <c r="C35" s="55">
        <v>30200.508000000002</v>
      </c>
      <c r="D35" s="55" t="s">
        <v>66</v>
      </c>
      <c r="E35">
        <f t="shared" si="1"/>
        <v>754.00880658234087</v>
      </c>
      <c r="F35">
        <f t="shared" si="2"/>
        <v>754</v>
      </c>
      <c r="G35">
        <f t="shared" si="3"/>
        <v>1.8278000003192574E-2</v>
      </c>
      <c r="I35">
        <f t="shared" si="9"/>
        <v>1.8278000003192574E-2</v>
      </c>
      <c r="O35">
        <f t="shared" ca="1" si="4"/>
        <v>-0.59379174395961609</v>
      </c>
      <c r="P35" s="62">
        <f t="shared" si="5"/>
        <v>-1.5844931511333348E-3</v>
      </c>
      <c r="Q35" s="2">
        <f t="shared" si="6"/>
        <v>15182.008000000002</v>
      </c>
      <c r="R35">
        <f t="shared" si="7"/>
        <v>3.9451863430564355E-4</v>
      </c>
      <c r="S35" s="4">
        <f t="shared" si="10"/>
        <v>0.1</v>
      </c>
      <c r="T35">
        <f t="shared" si="8"/>
        <v>3.9451863430564357E-5</v>
      </c>
      <c r="AD35" t="s">
        <v>35</v>
      </c>
      <c r="AF35" t="s">
        <v>37</v>
      </c>
    </row>
    <row r="36" spans="1:32" x14ac:dyDescent="0.2">
      <c r="A36" s="55" t="s">
        <v>118</v>
      </c>
      <c r="B36" s="57" t="s">
        <v>34</v>
      </c>
      <c r="C36" s="55">
        <v>32296.727999999999</v>
      </c>
      <c r="D36" s="55" t="s">
        <v>66</v>
      </c>
      <c r="E36">
        <f t="shared" si="1"/>
        <v>1763.9953495386399</v>
      </c>
      <c r="F36">
        <f t="shared" si="2"/>
        <v>1764</v>
      </c>
      <c r="G36">
        <f t="shared" si="3"/>
        <v>-9.6520000006421469E-3</v>
      </c>
      <c r="I36">
        <f t="shared" si="9"/>
        <v>-9.6520000006421469E-3</v>
      </c>
      <c r="O36">
        <f t="shared" ca="1" si="4"/>
        <v>-0.50252189540934777</v>
      </c>
      <c r="P36" s="62">
        <f t="shared" si="5"/>
        <v>-4.8935118883259403E-3</v>
      </c>
      <c r="Q36" s="2">
        <f t="shared" si="6"/>
        <v>17278.227999999999</v>
      </c>
      <c r="R36">
        <f t="shared" si="7"/>
        <v>2.2643209115054655E-5</v>
      </c>
      <c r="S36" s="4">
        <f t="shared" si="10"/>
        <v>0.1</v>
      </c>
      <c r="T36">
        <f t="shared" si="8"/>
        <v>2.2643209115054654E-6</v>
      </c>
      <c r="AD36" t="s">
        <v>35</v>
      </c>
      <c r="AF36" t="s">
        <v>37</v>
      </c>
    </row>
    <row r="37" spans="1:32" x14ac:dyDescent="0.2">
      <c r="A37" t="s">
        <v>36</v>
      </c>
      <c r="C37" s="28">
        <v>32720.723999999998</v>
      </c>
      <c r="D37" s="28"/>
      <c r="E37">
        <f t="shared" si="1"/>
        <v>1968.2822346305188</v>
      </c>
      <c r="F37">
        <f t="shared" si="2"/>
        <v>1968.5</v>
      </c>
      <c r="O37">
        <f t="shared" ca="1" si="4"/>
        <v>-0.48404201023258553</v>
      </c>
      <c r="P37" s="62">
        <f t="shared" si="5"/>
        <v>-4.5345161817160889E-3</v>
      </c>
      <c r="Q37" s="2">
        <f t="shared" si="6"/>
        <v>17702.223999999998</v>
      </c>
      <c r="T37">
        <f t="shared" si="8"/>
        <v>0</v>
      </c>
      <c r="U37" s="11">
        <v>-0.45197050000206218</v>
      </c>
    </row>
    <row r="38" spans="1:32" x14ac:dyDescent="0.2">
      <c r="A38" s="55" t="s">
        <v>118</v>
      </c>
      <c r="B38" s="57" t="s">
        <v>34</v>
      </c>
      <c r="C38" s="55">
        <v>32790.724000000002</v>
      </c>
      <c r="D38" s="55" t="s">
        <v>66</v>
      </c>
      <c r="E38">
        <f t="shared" si="1"/>
        <v>2002.0091611968833</v>
      </c>
      <c r="F38">
        <f t="shared" si="2"/>
        <v>2002</v>
      </c>
      <c r="G38">
        <f t="shared" ref="G38:G65" si="11">+C38-(C$7+F38*C$8)</f>
        <v>1.9014000004972331E-2</v>
      </c>
      <c r="I38">
        <f>G38</f>
        <v>1.9014000004972331E-2</v>
      </c>
      <c r="O38">
        <f t="shared" ca="1" si="4"/>
        <v>-0.48101474297869046</v>
      </c>
      <c r="P38" s="62">
        <f t="shared" si="5"/>
        <v>-4.4426750421301536E-3</v>
      </c>
      <c r="Q38" s="2">
        <f t="shared" si="6"/>
        <v>17772.224000000002</v>
      </c>
      <c r="R38">
        <f t="shared" ref="R38:R65" si="12">(P38-G38)^2</f>
        <v>5.5021560426536035E-4</v>
      </c>
      <c r="S38" s="4">
        <f>S$16</f>
        <v>0.1</v>
      </c>
      <c r="T38">
        <f t="shared" si="8"/>
        <v>5.5021560426536037E-5</v>
      </c>
    </row>
    <row r="39" spans="1:32" x14ac:dyDescent="0.2">
      <c r="A39" t="s">
        <v>36</v>
      </c>
      <c r="C39" s="28">
        <v>33201.639000000003</v>
      </c>
      <c r="D39" s="28"/>
      <c r="E39">
        <f t="shared" si="1"/>
        <v>2199.9934473399835</v>
      </c>
      <c r="F39">
        <f t="shared" si="2"/>
        <v>2200</v>
      </c>
      <c r="G39">
        <f t="shared" si="11"/>
        <v>-1.359999999840511E-2</v>
      </c>
      <c r="H39">
        <f>G39</f>
        <v>-1.359999999840511E-2</v>
      </c>
      <c r="O39">
        <f t="shared" ca="1" si="4"/>
        <v>-0.46312223801537056</v>
      </c>
      <c r="P39" s="62">
        <f t="shared" si="5"/>
        <v>-3.7099477192144917E-3</v>
      </c>
      <c r="Q39" s="2">
        <f t="shared" si="6"/>
        <v>18183.139000000003</v>
      </c>
      <c r="R39">
        <f t="shared" si="12"/>
        <v>9.7813134085123545E-5</v>
      </c>
      <c r="S39" s="4">
        <f>S$15</f>
        <v>0.2</v>
      </c>
      <c r="T39">
        <f t="shared" si="8"/>
        <v>1.956262681702471E-5</v>
      </c>
    </row>
    <row r="40" spans="1:32" x14ac:dyDescent="0.2">
      <c r="A40" t="s">
        <v>36</v>
      </c>
      <c r="C40" s="28">
        <v>33554.474000000002</v>
      </c>
      <c r="D40" s="28"/>
      <c r="E40">
        <f t="shared" si="1"/>
        <v>2369.9940206977344</v>
      </c>
      <c r="F40">
        <f t="shared" si="2"/>
        <v>2370</v>
      </c>
      <c r="G40">
        <f t="shared" si="11"/>
        <v>-1.2409999995725229E-2</v>
      </c>
      <c r="H40">
        <f>G40</f>
        <v>-1.2409999995725229E-2</v>
      </c>
      <c r="O40">
        <f t="shared" ca="1" si="4"/>
        <v>-0.44775998627918678</v>
      </c>
      <c r="P40" s="62">
        <f t="shared" si="5"/>
        <v>-2.821649081350356E-3</v>
      </c>
      <c r="Q40" s="2">
        <f t="shared" si="6"/>
        <v>18535.974000000002</v>
      </c>
      <c r="R40">
        <f t="shared" si="12"/>
        <v>9.1936473257193466E-5</v>
      </c>
      <c r="S40" s="4">
        <f>S$15</f>
        <v>0.2</v>
      </c>
      <c r="T40">
        <f t="shared" si="8"/>
        <v>1.8387294651438694E-5</v>
      </c>
    </row>
    <row r="41" spans="1:32" x14ac:dyDescent="0.2">
      <c r="A41" t="s">
        <v>36</v>
      </c>
      <c r="C41" s="28">
        <v>33886.559000000001</v>
      </c>
      <c r="D41" s="28"/>
      <c r="E41">
        <f t="shared" si="1"/>
        <v>2529.9969693947423</v>
      </c>
      <c r="F41">
        <f t="shared" si="2"/>
        <v>2530</v>
      </c>
      <c r="G41">
        <f t="shared" si="11"/>
        <v>-6.2899999975343235E-3</v>
      </c>
      <c r="H41">
        <f>G41</f>
        <v>-6.2899999975343235E-3</v>
      </c>
      <c r="O41">
        <f t="shared" ca="1" si="4"/>
        <v>-0.43330139640983734</v>
      </c>
      <c r="P41" s="62">
        <f t="shared" si="5"/>
        <v>-1.7668501698335816E-3</v>
      </c>
      <c r="Q41" s="2">
        <f t="shared" si="6"/>
        <v>18868.059000000001</v>
      </c>
      <c r="R41">
        <f t="shared" si="12"/>
        <v>2.0458884363829251E-5</v>
      </c>
      <c r="S41" s="4">
        <f>S$15</f>
        <v>0.2</v>
      </c>
      <c r="T41">
        <f t="shared" si="8"/>
        <v>4.0917768727658502E-6</v>
      </c>
    </row>
    <row r="42" spans="1:32" x14ac:dyDescent="0.2">
      <c r="A42" t="s">
        <v>36</v>
      </c>
      <c r="C42" s="28">
        <v>34301.639000000003</v>
      </c>
      <c r="D42" s="28"/>
      <c r="E42">
        <f t="shared" si="1"/>
        <v>2729.9880076685413</v>
      </c>
      <c r="F42">
        <f t="shared" si="2"/>
        <v>2730</v>
      </c>
      <c r="G42">
        <f t="shared" si="11"/>
        <v>-2.4889999993320089E-2</v>
      </c>
      <c r="H42">
        <f>G42</f>
        <v>-2.4889999993320089E-2</v>
      </c>
      <c r="O42">
        <f t="shared" ca="1" si="4"/>
        <v>-0.41522815907315053</v>
      </c>
      <c r="P42" s="62">
        <f t="shared" si="5"/>
        <v>-1.5005180129651005E-4</v>
      </c>
      <c r="Q42" s="2">
        <f t="shared" si="6"/>
        <v>19283.139000000003</v>
      </c>
      <c r="R42">
        <f t="shared" si="12"/>
        <v>6.1206503654401073E-4</v>
      </c>
      <c r="S42" s="4">
        <f>S$15</f>
        <v>0.2</v>
      </c>
      <c r="T42">
        <f t="shared" si="8"/>
        <v>1.2241300730880215E-4</v>
      </c>
    </row>
    <row r="43" spans="1:32" x14ac:dyDescent="0.2">
      <c r="A43" s="55" t="s">
        <v>139</v>
      </c>
      <c r="B43" s="57" t="s">
        <v>34</v>
      </c>
      <c r="C43" s="55">
        <v>34488.464999999997</v>
      </c>
      <c r="D43" s="55" t="s">
        <v>66</v>
      </c>
      <c r="E43">
        <f t="shared" si="1"/>
        <v>2820.0032474212139</v>
      </c>
      <c r="F43">
        <f t="shared" si="2"/>
        <v>2820</v>
      </c>
      <c r="G43">
        <f t="shared" si="11"/>
        <v>6.7399999970803037E-3</v>
      </c>
      <c r="I43">
        <f>G43</f>
        <v>6.7399999970803037E-3</v>
      </c>
      <c r="O43">
        <f t="shared" ca="1" si="4"/>
        <v>-0.40709520227164148</v>
      </c>
      <c r="P43" s="62">
        <f t="shared" si="5"/>
        <v>6.8564111635881914E-4</v>
      </c>
      <c r="Q43" s="2">
        <f t="shared" si="6"/>
        <v>19469.964999999997</v>
      </c>
      <c r="R43">
        <f t="shared" si="12"/>
        <v>3.6655261456571109E-5</v>
      </c>
      <c r="S43" s="4">
        <f>S$16</f>
        <v>0.1</v>
      </c>
      <c r="T43">
        <f t="shared" si="8"/>
        <v>3.665526145657111E-6</v>
      </c>
      <c r="AD43" t="s">
        <v>35</v>
      </c>
      <c r="AF43" t="s">
        <v>37</v>
      </c>
    </row>
    <row r="44" spans="1:32" x14ac:dyDescent="0.2">
      <c r="A44" t="s">
        <v>36</v>
      </c>
      <c r="C44" s="28">
        <v>34633.718000000001</v>
      </c>
      <c r="D44" s="28"/>
      <c r="E44">
        <f t="shared" si="1"/>
        <v>2889.988065486129</v>
      </c>
      <c r="F44">
        <f t="shared" si="2"/>
        <v>2890</v>
      </c>
      <c r="G44">
        <f t="shared" si="11"/>
        <v>-2.4769999996351544E-2</v>
      </c>
      <c r="H44">
        <f>G44</f>
        <v>-2.4769999996351544E-2</v>
      </c>
      <c r="O44">
        <f t="shared" ca="1" si="4"/>
        <v>-0.40076956920380108</v>
      </c>
      <c r="P44" s="62">
        <f t="shared" si="5"/>
        <v>1.3820266768460251E-3</v>
      </c>
      <c r="Q44" s="2">
        <f t="shared" si="6"/>
        <v>19615.218000000001</v>
      </c>
      <c r="R44">
        <f t="shared" si="12"/>
        <v>6.8392849911563715E-4</v>
      </c>
      <c r="S44" s="4">
        <f>S$15</f>
        <v>0.2</v>
      </c>
      <c r="T44">
        <f t="shared" si="8"/>
        <v>1.3678569982312743E-4</v>
      </c>
    </row>
    <row r="45" spans="1:32" x14ac:dyDescent="0.2">
      <c r="A45" s="55" t="s">
        <v>139</v>
      </c>
      <c r="B45" s="57" t="s">
        <v>34</v>
      </c>
      <c r="C45" s="55">
        <v>34652.421999999999</v>
      </c>
      <c r="D45" s="55" t="s">
        <v>66</v>
      </c>
      <c r="E45">
        <f t="shared" si="1"/>
        <v>2898.99990026466</v>
      </c>
      <c r="F45">
        <f t="shared" si="2"/>
        <v>2899</v>
      </c>
      <c r="G45">
        <f t="shared" si="11"/>
        <v>-2.0699999731732532E-4</v>
      </c>
      <c r="I45">
        <f>G45</f>
        <v>-2.0699999731732532E-4</v>
      </c>
      <c r="O45">
        <f t="shared" ca="1" si="4"/>
        <v>-0.39995627352365021</v>
      </c>
      <c r="P45" s="62">
        <f t="shared" si="5"/>
        <v>1.4745076730196469E-3</v>
      </c>
      <c r="Q45" s="2">
        <f t="shared" si="6"/>
        <v>19633.921999999999</v>
      </c>
      <c r="R45">
        <f t="shared" si="12"/>
        <v>2.8274680454020713E-6</v>
      </c>
      <c r="S45" s="4">
        <f>S$16</f>
        <v>0.1</v>
      </c>
      <c r="T45">
        <f t="shared" si="8"/>
        <v>2.8274680454020713E-7</v>
      </c>
      <c r="AD45" t="s">
        <v>35</v>
      </c>
      <c r="AF45" t="s">
        <v>37</v>
      </c>
    </row>
    <row r="46" spans="1:32" x14ac:dyDescent="0.2">
      <c r="A46" s="55" t="s">
        <v>139</v>
      </c>
      <c r="B46" s="57" t="s">
        <v>34</v>
      </c>
      <c r="C46" s="55">
        <v>34654.478000000003</v>
      </c>
      <c r="D46" s="55" t="s">
        <v>66</v>
      </c>
      <c r="E46">
        <f t="shared" si="1"/>
        <v>2899.9905082792397</v>
      </c>
      <c r="F46">
        <f t="shared" si="2"/>
        <v>2900</v>
      </c>
      <c r="G46">
        <f t="shared" si="11"/>
        <v>-1.9699999997101258E-2</v>
      </c>
      <c r="I46">
        <f>G46</f>
        <v>-1.9699999997101258E-2</v>
      </c>
      <c r="O46">
        <f t="shared" ca="1" si="4"/>
        <v>-0.39986590733696675</v>
      </c>
      <c r="P46" s="62">
        <f t="shared" si="5"/>
        <v>1.4848247697790973E-3</v>
      </c>
      <c r="Q46" s="2">
        <f t="shared" si="6"/>
        <v>19635.978000000003</v>
      </c>
      <c r="R46">
        <f t="shared" si="12"/>
        <v>4.487968004034273E-4</v>
      </c>
      <c r="S46" s="4">
        <f>S$16</f>
        <v>0.1</v>
      </c>
      <c r="T46">
        <f t="shared" si="8"/>
        <v>4.4879680040342731E-5</v>
      </c>
    </row>
    <row r="47" spans="1:32" x14ac:dyDescent="0.2">
      <c r="A47" s="55" t="s">
        <v>139</v>
      </c>
      <c r="B47" s="57" t="s">
        <v>34</v>
      </c>
      <c r="C47" s="55">
        <v>35032.226999999999</v>
      </c>
      <c r="D47" s="55" t="s">
        <v>66</v>
      </c>
      <c r="E47">
        <f t="shared" si="1"/>
        <v>3081.9949766151944</v>
      </c>
      <c r="F47">
        <f t="shared" si="2"/>
        <v>3082</v>
      </c>
      <c r="G47">
        <f t="shared" si="11"/>
        <v>-1.0426000000734348E-2</v>
      </c>
      <c r="I47">
        <f>G47</f>
        <v>-1.0426000000734348E-2</v>
      </c>
      <c r="O47">
        <f t="shared" ca="1" si="4"/>
        <v>-0.3834192613605818</v>
      </c>
      <c r="P47" s="62">
        <f t="shared" si="5"/>
        <v>3.5005248630375074E-3</v>
      </c>
      <c r="Q47" s="2">
        <f t="shared" si="6"/>
        <v>20013.726999999999</v>
      </c>
      <c r="R47">
        <f t="shared" si="12"/>
        <v>1.939480947812557E-4</v>
      </c>
      <c r="S47" s="4">
        <f>S$16</f>
        <v>0.1</v>
      </c>
      <c r="T47">
        <f t="shared" si="8"/>
        <v>1.9394809478125573E-5</v>
      </c>
    </row>
    <row r="48" spans="1:32" x14ac:dyDescent="0.2">
      <c r="A48" s="55" t="s">
        <v>153</v>
      </c>
      <c r="B48" s="57" t="s">
        <v>34</v>
      </c>
      <c r="C48" s="55">
        <v>35258.449000000001</v>
      </c>
      <c r="D48" s="55" t="s">
        <v>66</v>
      </c>
      <c r="E48">
        <f t="shared" si="1"/>
        <v>3190.99173063942</v>
      </c>
      <c r="F48">
        <f t="shared" si="2"/>
        <v>3191</v>
      </c>
      <c r="G48">
        <f t="shared" si="11"/>
        <v>-1.7162999996799044E-2</v>
      </c>
      <c r="I48">
        <f>G48</f>
        <v>-1.7162999996799044E-2</v>
      </c>
      <c r="O48">
        <f t="shared" ca="1" si="4"/>
        <v>-0.37356934701208749</v>
      </c>
      <c r="P48" s="62">
        <f t="shared" si="5"/>
        <v>4.8391433237870568E-3</v>
      </c>
      <c r="Q48" s="2">
        <f t="shared" si="6"/>
        <v>20239.949000000001</v>
      </c>
      <c r="R48">
        <f t="shared" si="12"/>
        <v>4.8409431069961156E-4</v>
      </c>
      <c r="S48" s="4">
        <f>S$16</f>
        <v>0.1</v>
      </c>
      <c r="T48">
        <f t="shared" si="8"/>
        <v>4.8409431069961156E-5</v>
      </c>
      <c r="AD48" t="s">
        <v>35</v>
      </c>
      <c r="AF48" t="s">
        <v>37</v>
      </c>
    </row>
    <row r="49" spans="1:36" x14ac:dyDescent="0.2">
      <c r="A49" s="55" t="s">
        <v>153</v>
      </c>
      <c r="B49" s="57" t="s">
        <v>34</v>
      </c>
      <c r="C49" s="55">
        <v>35339.428999999996</v>
      </c>
      <c r="D49" s="55" t="s">
        <v>66</v>
      </c>
      <c r="E49">
        <f t="shared" si="1"/>
        <v>3230.0089665443334</v>
      </c>
      <c r="F49">
        <f t="shared" si="2"/>
        <v>3230</v>
      </c>
      <c r="G49">
        <f t="shared" si="11"/>
        <v>1.8609999999171123E-2</v>
      </c>
      <c r="I49">
        <f>G49</f>
        <v>1.8609999999171123E-2</v>
      </c>
      <c r="O49">
        <f t="shared" ca="1" si="4"/>
        <v>-0.37004506573143353</v>
      </c>
      <c r="P49" s="62">
        <f t="shared" si="5"/>
        <v>5.3420122478154003E-3</v>
      </c>
      <c r="Q49" s="2">
        <f t="shared" si="6"/>
        <v>20320.928999999996</v>
      </c>
      <c r="R49">
        <f t="shared" si="12"/>
        <v>1.7603949897012548E-4</v>
      </c>
      <c r="S49" s="4">
        <f>S$16</f>
        <v>0.1</v>
      </c>
      <c r="T49">
        <f t="shared" si="8"/>
        <v>1.760394989701255E-5</v>
      </c>
    </row>
    <row r="50" spans="1:36" x14ac:dyDescent="0.2">
      <c r="A50" t="s">
        <v>36</v>
      </c>
      <c r="C50" s="28">
        <v>35345.627999999997</v>
      </c>
      <c r="D50" s="28"/>
      <c r="E50">
        <f t="shared" si="1"/>
        <v>3232.9957267984032</v>
      </c>
      <c r="F50">
        <f t="shared" si="2"/>
        <v>3233</v>
      </c>
      <c r="G50">
        <f t="shared" si="11"/>
        <v>-8.8690000047790818E-3</v>
      </c>
      <c r="H50">
        <f>G50</f>
        <v>-8.8690000047790818E-3</v>
      </c>
      <c r="O50">
        <f t="shared" ca="1" si="4"/>
        <v>-0.36977396717138322</v>
      </c>
      <c r="P50" s="62">
        <f t="shared" si="5"/>
        <v>5.3812164972666526E-3</v>
      </c>
      <c r="Q50" s="2">
        <f t="shared" si="6"/>
        <v>20327.127999999997</v>
      </c>
      <c r="R50">
        <f t="shared" si="12"/>
        <v>2.0306867035517658E-4</v>
      </c>
      <c r="S50" s="4">
        <f>S$15</f>
        <v>0.2</v>
      </c>
      <c r="T50">
        <f t="shared" si="8"/>
        <v>4.061373407103532E-5</v>
      </c>
      <c r="AD50" t="s">
        <v>35</v>
      </c>
      <c r="AF50" t="s">
        <v>37</v>
      </c>
    </row>
    <row r="51" spans="1:36" x14ac:dyDescent="0.2">
      <c r="A51" s="55" t="s">
        <v>153</v>
      </c>
      <c r="B51" s="57" t="s">
        <v>34</v>
      </c>
      <c r="C51" s="55">
        <v>35366.406999999999</v>
      </c>
      <c r="D51" s="55" t="s">
        <v>66</v>
      </c>
      <c r="E51">
        <f t="shared" si="1"/>
        <v>3243.0073240430106</v>
      </c>
      <c r="F51">
        <f t="shared" si="2"/>
        <v>3243</v>
      </c>
      <c r="G51">
        <f t="shared" si="11"/>
        <v>1.5201000001979992E-2</v>
      </c>
      <c r="I51">
        <f t="shared" ref="I51:I65" si="13">G51</f>
        <v>1.5201000001979992E-2</v>
      </c>
      <c r="O51">
        <f t="shared" ca="1" si="4"/>
        <v>-0.3688703053045489</v>
      </c>
      <c r="P51" s="62">
        <f t="shared" si="5"/>
        <v>5.5124359255040029E-3</v>
      </c>
      <c r="Q51" s="2">
        <f t="shared" si="6"/>
        <v>20347.906999999999</v>
      </c>
      <c r="R51">
        <f t="shared" si="12"/>
        <v>9.386827386398103E-5</v>
      </c>
      <c r="S51" s="4">
        <f t="shared" ref="S51:S65" si="14">S$16</f>
        <v>0.1</v>
      </c>
      <c r="T51">
        <f t="shared" si="8"/>
        <v>9.3868273863981043E-6</v>
      </c>
    </row>
    <row r="52" spans="1:36" x14ac:dyDescent="0.2">
      <c r="A52" s="55" t="s">
        <v>164</v>
      </c>
      <c r="B52" s="57" t="s">
        <v>34</v>
      </c>
      <c r="C52" s="55">
        <v>35723.423000000003</v>
      </c>
      <c r="D52" s="55" t="s">
        <v>66</v>
      </c>
      <c r="E52">
        <f t="shared" si="1"/>
        <v>3415.0223585432491</v>
      </c>
      <c r="F52">
        <f t="shared" si="2"/>
        <v>3415</v>
      </c>
      <c r="G52">
        <f t="shared" si="11"/>
        <v>4.6405000000959262E-2</v>
      </c>
      <c r="I52">
        <f t="shared" si="13"/>
        <v>4.6405000000959262E-2</v>
      </c>
      <c r="O52">
        <f t="shared" ca="1" si="4"/>
        <v>-0.35332732119499827</v>
      </c>
      <c r="P52" s="62">
        <f t="shared" si="5"/>
        <v>7.8991041845341073E-3</v>
      </c>
      <c r="Q52" s="2">
        <f t="shared" si="6"/>
        <v>20704.923000000003</v>
      </c>
      <c r="R52">
        <f t="shared" si="12"/>
        <v>1.4827040126253882E-3</v>
      </c>
      <c r="S52" s="4">
        <f t="shared" si="14"/>
        <v>0.1</v>
      </c>
      <c r="T52">
        <f t="shared" si="8"/>
        <v>1.4827040126253884E-4</v>
      </c>
    </row>
    <row r="53" spans="1:36" x14ac:dyDescent="0.2">
      <c r="A53" s="55" t="s">
        <v>164</v>
      </c>
      <c r="B53" s="57" t="s">
        <v>34</v>
      </c>
      <c r="C53" s="55">
        <v>35748.262000000002</v>
      </c>
      <c r="D53" s="55" t="s">
        <v>66</v>
      </c>
      <c r="E53">
        <f t="shared" ref="E53:E83" si="15">+(C53-C$7)/C$8</f>
        <v>3426.9901175287046</v>
      </c>
      <c r="F53">
        <f t="shared" ref="F53:F65" si="16">ROUND(2*E53,0)/2</f>
        <v>3427</v>
      </c>
      <c r="G53">
        <f t="shared" si="11"/>
        <v>-2.0510999995167367E-2</v>
      </c>
      <c r="I53">
        <f t="shared" si="13"/>
        <v>-2.0510999995167367E-2</v>
      </c>
      <c r="O53">
        <f t="shared" ref="O53:O83" ca="1" si="17">+C$11+C$12*F53</f>
        <v>-0.35224292695479703</v>
      </c>
      <c r="P53" s="62">
        <f t="shared" ref="P53:P83" si="18">+D$11+D$12*F53+D$13*F53^2</f>
        <v>8.0747637818965393E-3</v>
      </c>
      <c r="Q53" s="2">
        <f t="shared" ref="Q53:Q83" si="19">+C53-15018.5</f>
        <v>20729.762000000002</v>
      </c>
      <c r="R53">
        <f t="shared" si="12"/>
        <v>8.1714589071809891E-4</v>
      </c>
      <c r="S53" s="4">
        <f t="shared" si="14"/>
        <v>0.1</v>
      </c>
      <c r="T53">
        <f t="shared" ref="T53:T83" si="20">+S53*R53</f>
        <v>8.1714589071809897E-5</v>
      </c>
    </row>
    <row r="54" spans="1:36" x14ac:dyDescent="0.2">
      <c r="A54" s="55" t="s">
        <v>164</v>
      </c>
      <c r="B54" s="57" t="s">
        <v>34</v>
      </c>
      <c r="C54" s="55">
        <v>35779.379000000001</v>
      </c>
      <c r="D54" s="55" t="s">
        <v>66</v>
      </c>
      <c r="E54">
        <f t="shared" si="15"/>
        <v>3441.9827000139253</v>
      </c>
      <c r="F54">
        <f t="shared" si="16"/>
        <v>3442</v>
      </c>
      <c r="G54">
        <f t="shared" si="11"/>
        <v>-3.5905999997339677E-2</v>
      </c>
      <c r="I54">
        <f t="shared" si="13"/>
        <v>-3.5905999997339677E-2</v>
      </c>
      <c r="O54">
        <f t="shared" ca="1" si="17"/>
        <v>-0.35088743415454554</v>
      </c>
      <c r="P54" s="62">
        <f t="shared" si="18"/>
        <v>8.2960162145759922E-3</v>
      </c>
      <c r="Q54" s="2">
        <f t="shared" si="19"/>
        <v>20760.879000000001</v>
      </c>
      <c r="R54">
        <f t="shared" si="12"/>
        <v>1.9538182371984557E-3</v>
      </c>
      <c r="S54" s="4">
        <f t="shared" si="14"/>
        <v>0.1</v>
      </c>
      <c r="T54">
        <f t="shared" si="20"/>
        <v>1.9538182371984559E-4</v>
      </c>
    </row>
    <row r="55" spans="1:36" x14ac:dyDescent="0.2">
      <c r="A55" s="55" t="s">
        <v>174</v>
      </c>
      <c r="B55" s="57" t="s">
        <v>34</v>
      </c>
      <c r="C55" s="55">
        <v>36163.379000000001</v>
      </c>
      <c r="D55" s="55" t="s">
        <v>66</v>
      </c>
      <c r="E55">
        <f t="shared" si="15"/>
        <v>3626.9989828922585</v>
      </c>
      <c r="F55">
        <f t="shared" si="16"/>
        <v>3627</v>
      </c>
      <c r="G55">
        <f t="shared" si="11"/>
        <v>-2.1109999943291768E-3</v>
      </c>
      <c r="I55">
        <f t="shared" si="13"/>
        <v>-2.1109999943291768E-3</v>
      </c>
      <c r="O55">
        <f t="shared" ca="1" si="17"/>
        <v>-0.33416968961811028</v>
      </c>
      <c r="P55" s="62">
        <f t="shared" si="18"/>
        <v>1.1178089133986754E-2</v>
      </c>
      <c r="Q55" s="2">
        <f t="shared" si="19"/>
        <v>21144.879000000001</v>
      </c>
      <c r="R55">
        <f t="shared" si="12"/>
        <v>1.7659988986032469E-4</v>
      </c>
      <c r="S55" s="4">
        <f t="shared" si="14"/>
        <v>0.1</v>
      </c>
      <c r="T55">
        <f t="shared" si="20"/>
        <v>1.7659988986032471E-5</v>
      </c>
    </row>
    <row r="56" spans="1:36" x14ac:dyDescent="0.2">
      <c r="A56" t="s">
        <v>38</v>
      </c>
      <c r="C56" s="28">
        <v>36902.264000000003</v>
      </c>
      <c r="D56" s="28"/>
      <c r="E56">
        <f t="shared" si="15"/>
        <v>3983.0035562635021</v>
      </c>
      <c r="F56">
        <f t="shared" si="16"/>
        <v>3983</v>
      </c>
      <c r="G56">
        <f t="shared" si="11"/>
        <v>7.3810000030789524E-3</v>
      </c>
      <c r="I56">
        <f t="shared" si="13"/>
        <v>7.3810000030789524E-3</v>
      </c>
      <c r="O56">
        <f t="shared" ca="1" si="17"/>
        <v>-0.30199932715880773</v>
      </c>
      <c r="P56" s="62">
        <f t="shared" si="18"/>
        <v>1.752206736053058E-2</v>
      </c>
      <c r="Q56" s="2">
        <f t="shared" si="19"/>
        <v>21883.764000000003</v>
      </c>
      <c r="R56">
        <f t="shared" si="12"/>
        <v>1.0284124714837093E-4</v>
      </c>
      <c r="S56" s="4">
        <f t="shared" si="14"/>
        <v>0.1</v>
      </c>
      <c r="T56">
        <f t="shared" si="20"/>
        <v>1.0284124714837094E-5</v>
      </c>
    </row>
    <row r="57" spans="1:36" x14ac:dyDescent="0.2">
      <c r="A57" t="s">
        <v>38</v>
      </c>
      <c r="C57" s="28">
        <v>38255.498</v>
      </c>
      <c r="D57" s="28"/>
      <c r="E57">
        <f t="shared" si="15"/>
        <v>4635.0096097650057</v>
      </c>
      <c r="F57">
        <f t="shared" si="16"/>
        <v>4635</v>
      </c>
      <c r="G57">
        <f t="shared" si="11"/>
        <v>1.9945000000006985E-2</v>
      </c>
      <c r="I57">
        <f t="shared" si="13"/>
        <v>1.9945000000006985E-2</v>
      </c>
      <c r="O57">
        <f t="shared" ca="1" si="17"/>
        <v>-0.24308057344120881</v>
      </c>
      <c r="P57" s="62">
        <f t="shared" si="18"/>
        <v>3.1863693927755746E-2</v>
      </c>
      <c r="Q57" s="2">
        <f t="shared" si="19"/>
        <v>23236.998</v>
      </c>
      <c r="R57">
        <f t="shared" si="12"/>
        <v>1.4205526494335519E-4</v>
      </c>
      <c r="S57" s="4">
        <f t="shared" si="14"/>
        <v>0.1</v>
      </c>
      <c r="T57">
        <f t="shared" si="20"/>
        <v>1.4205526494335519E-5</v>
      </c>
      <c r="AD57" t="s">
        <v>35</v>
      </c>
      <c r="AF57" t="s">
        <v>37</v>
      </c>
    </row>
    <row r="58" spans="1:36" x14ac:dyDescent="0.2">
      <c r="A58" s="9" t="s">
        <v>33</v>
      </c>
      <c r="B58" t="s">
        <v>34</v>
      </c>
      <c r="C58" s="28">
        <v>49930.4594</v>
      </c>
      <c r="D58" s="28">
        <v>4.0000000000000002E-4</v>
      </c>
      <c r="E58">
        <f t="shared" si="15"/>
        <v>10260.160549806722</v>
      </c>
      <c r="F58">
        <f t="shared" si="16"/>
        <v>10260</v>
      </c>
      <c r="G58">
        <f t="shared" si="11"/>
        <v>0.33322000000771368</v>
      </c>
      <c r="I58">
        <f t="shared" si="13"/>
        <v>0.33322000000771368</v>
      </c>
      <c r="O58">
        <f t="shared" ca="1" si="17"/>
        <v>0.26522922665310733</v>
      </c>
      <c r="P58" s="62">
        <f t="shared" si="18"/>
        <v>0.30187660822055629</v>
      </c>
      <c r="Q58" s="2">
        <f t="shared" si="19"/>
        <v>34911.9594</v>
      </c>
      <c r="R58">
        <f t="shared" si="12"/>
        <v>9.8240820872324544E-4</v>
      </c>
      <c r="S58" s="4">
        <f t="shared" si="14"/>
        <v>0.1</v>
      </c>
      <c r="T58">
        <f t="shared" si="20"/>
        <v>9.8240820872324549E-5</v>
      </c>
    </row>
    <row r="59" spans="1:36" x14ac:dyDescent="0.2">
      <c r="A59" s="9" t="s">
        <v>33</v>
      </c>
      <c r="B59" t="s">
        <v>34</v>
      </c>
      <c r="C59" s="28">
        <v>50700.482300000003</v>
      </c>
      <c r="D59" s="28">
        <v>2.0000000000000001E-4</v>
      </c>
      <c r="E59">
        <f t="shared" si="15"/>
        <v>10631.167775559834</v>
      </c>
      <c r="F59">
        <f t="shared" si="16"/>
        <v>10631</v>
      </c>
      <c r="G59">
        <f t="shared" si="11"/>
        <v>0.348217000006116</v>
      </c>
      <c r="I59">
        <f t="shared" si="13"/>
        <v>0.348217000006116</v>
      </c>
      <c r="O59">
        <f t="shared" ca="1" si="17"/>
        <v>0.29875508191266131</v>
      </c>
      <c r="P59" s="62">
        <f t="shared" si="18"/>
        <v>0.3289017449936632</v>
      </c>
      <c r="Q59" s="2">
        <f t="shared" si="19"/>
        <v>35681.982300000003</v>
      </c>
      <c r="R59">
        <f t="shared" si="12"/>
        <v>3.7307907619608271E-4</v>
      </c>
      <c r="S59" s="4">
        <f t="shared" si="14"/>
        <v>0.1</v>
      </c>
      <c r="T59">
        <f t="shared" si="20"/>
        <v>3.7307907619608275E-5</v>
      </c>
    </row>
    <row r="60" spans="1:36" x14ac:dyDescent="0.2">
      <c r="A60" s="9" t="s">
        <v>33</v>
      </c>
      <c r="B60" t="s">
        <v>34</v>
      </c>
      <c r="C60" s="28">
        <v>50750.309600000001</v>
      </c>
      <c r="D60" s="28">
        <v>1.2999999999999999E-3</v>
      </c>
      <c r="E60">
        <f t="shared" si="15"/>
        <v>10655.175228246977</v>
      </c>
      <c r="F60">
        <f t="shared" si="16"/>
        <v>10655</v>
      </c>
      <c r="G60">
        <f t="shared" si="11"/>
        <v>0.36368500000389758</v>
      </c>
      <c r="I60">
        <f t="shared" si="13"/>
        <v>0.36368500000389758</v>
      </c>
      <c r="O60">
        <f t="shared" ca="1" si="17"/>
        <v>0.30092387039306379</v>
      </c>
      <c r="P60" s="62">
        <f t="shared" si="18"/>
        <v>0.33068927795095937</v>
      </c>
      <c r="Q60" s="2">
        <f t="shared" si="19"/>
        <v>35731.809600000001</v>
      </c>
      <c r="R60">
        <f t="shared" si="12"/>
        <v>1.0887176737947532E-3</v>
      </c>
      <c r="S60" s="4">
        <f t="shared" si="14"/>
        <v>0.1</v>
      </c>
      <c r="T60">
        <f t="shared" si="20"/>
        <v>1.0887176737947532E-4</v>
      </c>
      <c r="AD60" s="9" t="s">
        <v>29</v>
      </c>
      <c r="AE60" s="4" t="s">
        <v>28</v>
      </c>
      <c r="AF60" s="9">
        <v>2.3E-3</v>
      </c>
      <c r="AH60" s="10"/>
      <c r="AJ60" s="4" t="s">
        <v>30</v>
      </c>
    </row>
    <row r="61" spans="1:36" x14ac:dyDescent="0.2">
      <c r="A61" s="9" t="s">
        <v>33</v>
      </c>
      <c r="B61" t="s">
        <v>34</v>
      </c>
      <c r="C61" s="28">
        <v>50949.545599999998</v>
      </c>
      <c r="D61" s="28">
        <v>2E-3</v>
      </c>
      <c r="E61">
        <f t="shared" si="15"/>
        <v>10751.169770266632</v>
      </c>
      <c r="F61">
        <f t="shared" si="16"/>
        <v>10751</v>
      </c>
      <c r="G61">
        <f t="shared" si="11"/>
        <v>0.35235699999611825</v>
      </c>
      <c r="I61">
        <f t="shared" si="13"/>
        <v>0.35235699999611825</v>
      </c>
      <c r="O61">
        <f t="shared" ca="1" si="17"/>
        <v>0.30959902431467345</v>
      </c>
      <c r="P61" s="62">
        <f t="shared" si="18"/>
        <v>0.33788713773680679</v>
      </c>
      <c r="Q61" s="2">
        <f t="shared" si="19"/>
        <v>35931.045599999998</v>
      </c>
      <c r="R61">
        <f t="shared" si="12"/>
        <v>2.0937691380344618E-4</v>
      </c>
      <c r="S61" s="4">
        <f t="shared" si="14"/>
        <v>0.1</v>
      </c>
      <c r="T61">
        <f t="shared" si="20"/>
        <v>2.093769138034462E-5</v>
      </c>
      <c r="AD61" s="9" t="s">
        <v>29</v>
      </c>
      <c r="AE61" s="4" t="s">
        <v>31</v>
      </c>
      <c r="AF61" s="9">
        <v>1.38E-2</v>
      </c>
      <c r="AG61" s="10"/>
      <c r="AI61" s="10"/>
      <c r="AJ61" s="4" t="s">
        <v>32</v>
      </c>
    </row>
    <row r="62" spans="1:36" x14ac:dyDescent="0.2">
      <c r="A62" s="12" t="s">
        <v>43</v>
      </c>
      <c r="B62" s="10"/>
      <c r="C62" s="28">
        <v>51032.571600000003</v>
      </c>
      <c r="D62" s="28">
        <v>2.0999999999999999E-3</v>
      </c>
      <c r="E62">
        <f t="shared" si="15"/>
        <v>10791.172796053759</v>
      </c>
      <c r="F62">
        <f t="shared" si="16"/>
        <v>10791</v>
      </c>
      <c r="G62">
        <f t="shared" si="11"/>
        <v>0.35863700000481913</v>
      </c>
      <c r="I62">
        <f t="shared" si="13"/>
        <v>0.35863700000481913</v>
      </c>
      <c r="O62">
        <f t="shared" ca="1" si="17"/>
        <v>0.31321367178201076</v>
      </c>
      <c r="P62" s="62">
        <f t="shared" si="18"/>
        <v>0.34090878418266723</v>
      </c>
      <c r="Q62" s="2">
        <f t="shared" si="19"/>
        <v>36014.071600000003</v>
      </c>
      <c r="R62">
        <f t="shared" si="12"/>
        <v>3.1428963623679674E-4</v>
      </c>
      <c r="S62" s="4">
        <f t="shared" si="14"/>
        <v>0.1</v>
      </c>
      <c r="T62">
        <f t="shared" si="20"/>
        <v>3.1428963623679675E-5</v>
      </c>
    </row>
    <row r="63" spans="1:36" x14ac:dyDescent="0.2">
      <c r="A63" s="9" t="s">
        <v>33</v>
      </c>
      <c r="B63" t="s">
        <v>34</v>
      </c>
      <c r="C63" s="28">
        <v>51416.543899999997</v>
      </c>
      <c r="D63" s="28">
        <v>2E-3</v>
      </c>
      <c r="E63">
        <f t="shared" si="15"/>
        <v>10976.175732705435</v>
      </c>
      <c r="F63">
        <f t="shared" si="16"/>
        <v>10976</v>
      </c>
      <c r="G63">
        <f t="shared" si="11"/>
        <v>0.36473199999454664</v>
      </c>
      <c r="I63">
        <f t="shared" si="13"/>
        <v>0.36473199999454664</v>
      </c>
      <c r="O63">
        <f t="shared" ca="1" si="17"/>
        <v>0.32993141631844602</v>
      </c>
      <c r="P63" s="62">
        <f t="shared" si="18"/>
        <v>0.35505635352568132</v>
      </c>
      <c r="Q63" s="2">
        <f t="shared" si="19"/>
        <v>36398.043899999997</v>
      </c>
      <c r="R63">
        <f t="shared" si="12"/>
        <v>9.3618134590465885E-5</v>
      </c>
      <c r="S63" s="4">
        <f t="shared" si="14"/>
        <v>0.1</v>
      </c>
      <c r="T63">
        <f t="shared" si="20"/>
        <v>9.3618134590465899E-6</v>
      </c>
      <c r="AD63" s="9" t="s">
        <v>29</v>
      </c>
      <c r="AE63" s="4" t="s">
        <v>31</v>
      </c>
      <c r="AF63" s="9">
        <v>-5.0000000000000001E-4</v>
      </c>
      <c r="AG63" s="10"/>
      <c r="AI63" s="10"/>
      <c r="AJ63" s="4" t="s">
        <v>32</v>
      </c>
    </row>
    <row r="64" spans="1:36" x14ac:dyDescent="0.2">
      <c r="A64" s="9" t="s">
        <v>33</v>
      </c>
      <c r="B64" t="s">
        <v>34</v>
      </c>
      <c r="C64" s="28">
        <v>51468.428800000002</v>
      </c>
      <c r="D64" s="28">
        <v>1.2999999999999999E-3</v>
      </c>
      <c r="E64">
        <f t="shared" si="15"/>
        <v>11001.174564308338</v>
      </c>
      <c r="F64">
        <f t="shared" si="16"/>
        <v>11001</v>
      </c>
      <c r="G64">
        <f t="shared" si="11"/>
        <v>0.3623070000030566</v>
      </c>
      <c r="I64">
        <f t="shared" si="13"/>
        <v>0.3623070000030566</v>
      </c>
      <c r="O64">
        <f t="shared" ca="1" si="17"/>
        <v>0.33219057098553195</v>
      </c>
      <c r="P64" s="62">
        <f t="shared" si="18"/>
        <v>0.35698993824259972</v>
      </c>
      <c r="Q64" s="2">
        <f t="shared" si="19"/>
        <v>36449.928800000002</v>
      </c>
      <c r="R64">
        <f t="shared" si="12"/>
        <v>2.8271145764512772E-5</v>
      </c>
      <c r="S64" s="4">
        <f t="shared" si="14"/>
        <v>0.1</v>
      </c>
      <c r="T64">
        <f t="shared" si="20"/>
        <v>2.8271145764512775E-6</v>
      </c>
      <c r="AD64" s="9" t="s">
        <v>29</v>
      </c>
      <c r="AE64" s="4" t="s">
        <v>31</v>
      </c>
      <c r="AF64" s="9">
        <v>-2.0999999999999999E-3</v>
      </c>
      <c r="AG64" s="10"/>
      <c r="AI64" s="10"/>
      <c r="AJ64" s="4" t="s">
        <v>32</v>
      </c>
    </row>
    <row r="65" spans="1:36" x14ac:dyDescent="0.2">
      <c r="A65" s="12" t="s">
        <v>39</v>
      </c>
      <c r="C65" s="28">
        <v>51771.462500000001</v>
      </c>
      <c r="D65" s="28">
        <v>5.9999999999999995E-4</v>
      </c>
      <c r="E65">
        <f t="shared" si="15"/>
        <v>11147.180212123098</v>
      </c>
      <c r="F65">
        <f t="shared" si="16"/>
        <v>11147</v>
      </c>
      <c r="G65">
        <f t="shared" si="11"/>
        <v>0.37402900000597583</v>
      </c>
      <c r="I65">
        <f t="shared" si="13"/>
        <v>0.37402900000597583</v>
      </c>
      <c r="O65">
        <f t="shared" ca="1" si="17"/>
        <v>0.34538403424131325</v>
      </c>
      <c r="P65" s="62">
        <f t="shared" si="18"/>
        <v>0.36838550842048312</v>
      </c>
      <c r="Q65" s="2">
        <f t="shared" si="19"/>
        <v>36752.962500000001</v>
      </c>
      <c r="R65">
        <f t="shared" si="12"/>
        <v>3.1848997275527029E-5</v>
      </c>
      <c r="S65" s="4">
        <f t="shared" si="14"/>
        <v>0.1</v>
      </c>
      <c r="T65">
        <f t="shared" si="20"/>
        <v>3.1848997275527031E-6</v>
      </c>
      <c r="AD65" s="9" t="s">
        <v>29</v>
      </c>
      <c r="AE65" s="4" t="s">
        <v>31</v>
      </c>
      <c r="AF65" s="9">
        <v>-4.1999999999999997E-3</v>
      </c>
      <c r="AG65" s="10"/>
      <c r="AI65" s="10"/>
      <c r="AJ65" s="4" t="s">
        <v>32</v>
      </c>
    </row>
    <row r="66" spans="1:36" x14ac:dyDescent="0.2">
      <c r="A66" s="12" t="s">
        <v>39</v>
      </c>
      <c r="C66" s="28">
        <v>51773.541700000002</v>
      </c>
      <c r="D66" s="28">
        <v>5.9999999999999995E-4</v>
      </c>
      <c r="E66">
        <f t="shared" si="15"/>
        <v>11148.181998204765</v>
      </c>
      <c r="F66">
        <f t="shared" ref="F66:F78" si="21">ROUND(2*E66,0)/2</f>
        <v>11148</v>
      </c>
      <c r="G66">
        <f>+C66-(C$7+F66*C$8)</f>
        <v>0.37773600000946317</v>
      </c>
      <c r="I66">
        <f>G66</f>
        <v>0.37773600000946317</v>
      </c>
      <c r="O66">
        <f t="shared" ca="1" si="17"/>
        <v>0.3454744004279966</v>
      </c>
      <c r="P66" s="62">
        <f t="shared" si="18"/>
        <v>0.36846416929963022</v>
      </c>
      <c r="Q66" s="2">
        <f t="shared" si="19"/>
        <v>36755.041700000002</v>
      </c>
      <c r="R66">
        <f>(P66-G66)^2</f>
        <v>8.5966844711801412E-5</v>
      </c>
      <c r="S66" s="4">
        <f>S$16</f>
        <v>0.1</v>
      </c>
      <c r="T66">
        <f t="shared" si="20"/>
        <v>8.5966844711801422E-6</v>
      </c>
      <c r="AD66" s="9" t="s">
        <v>29</v>
      </c>
      <c r="AE66" s="4" t="s">
        <v>31</v>
      </c>
      <c r="AF66" s="9">
        <v>-5.0000000000000001E-4</v>
      </c>
      <c r="AG66" s="10"/>
      <c r="AI66" s="10"/>
      <c r="AJ66" s="4" t="s">
        <v>32</v>
      </c>
    </row>
    <row r="67" spans="1:36" x14ac:dyDescent="0.2">
      <c r="A67" s="12" t="s">
        <v>39</v>
      </c>
      <c r="C67" s="28">
        <v>51798.445800000001</v>
      </c>
      <c r="D67" s="28">
        <v>6.9999999999999999E-4</v>
      </c>
      <c r="E67">
        <f t="shared" si="15"/>
        <v>11160.181123231929</v>
      </c>
      <c r="F67">
        <f t="shared" si="21"/>
        <v>11160</v>
      </c>
      <c r="G67">
        <f>+C67-(C$7+F67*C$8)</f>
        <v>0.37592000000586268</v>
      </c>
      <c r="I67">
        <f>G67</f>
        <v>0.37592000000586268</v>
      </c>
      <c r="O67">
        <f t="shared" ca="1" si="17"/>
        <v>0.34655879466819783</v>
      </c>
      <c r="P67" s="62">
        <f t="shared" si="18"/>
        <v>0.36940874616547537</v>
      </c>
      <c r="Q67" s="2">
        <f t="shared" si="19"/>
        <v>36779.945800000001</v>
      </c>
      <c r="R67">
        <f>(P67-G67)^2</f>
        <v>4.2396426573958494E-5</v>
      </c>
      <c r="S67" s="4">
        <f>S$16</f>
        <v>0.1</v>
      </c>
      <c r="T67">
        <f t="shared" si="20"/>
        <v>4.2396426573958499E-6</v>
      </c>
    </row>
    <row r="68" spans="1:36" x14ac:dyDescent="0.2">
      <c r="A68" s="12" t="s">
        <v>39</v>
      </c>
      <c r="C68" s="28">
        <v>51850.338900000002</v>
      </c>
      <c r="D68" s="28">
        <v>5.9999999999999995E-4</v>
      </c>
      <c r="E68">
        <f t="shared" si="15"/>
        <v>11185.18390570337</v>
      </c>
      <c r="F68">
        <f t="shared" si="21"/>
        <v>11185</v>
      </c>
      <c r="G68">
        <f>+C68-(C$7+F68*C$8)</f>
        <v>0.38169500000367407</v>
      </c>
      <c r="I68">
        <f>G68</f>
        <v>0.38169500000367407</v>
      </c>
      <c r="O68">
        <f t="shared" ca="1" si="17"/>
        <v>0.34881794933528365</v>
      </c>
      <c r="P68" s="62">
        <f t="shared" si="18"/>
        <v>0.37138044695889527</v>
      </c>
      <c r="Q68" s="2">
        <f t="shared" si="19"/>
        <v>36831.838900000002</v>
      </c>
      <c r="R68">
        <f>(P68-G68)^2</f>
        <v>1.0639000451355553E-4</v>
      </c>
      <c r="S68" s="4">
        <f>S$16</f>
        <v>0.1</v>
      </c>
      <c r="T68">
        <f t="shared" si="20"/>
        <v>1.0639000451355554E-5</v>
      </c>
    </row>
    <row r="69" spans="1:36" x14ac:dyDescent="0.2">
      <c r="A69" s="55" t="s">
        <v>228</v>
      </c>
      <c r="B69" s="57" t="s">
        <v>34</v>
      </c>
      <c r="C69" s="55">
        <v>52448.104299999999</v>
      </c>
      <c r="D69" s="55" t="s">
        <v>66</v>
      </c>
      <c r="E69">
        <f t="shared" si="15"/>
        <v>11473.195187842119</v>
      </c>
      <c r="F69">
        <f t="shared" si="21"/>
        <v>11473</v>
      </c>
      <c r="G69">
        <f>+C69-(C$7+F69*C$8)</f>
        <v>0.40511100000730949</v>
      </c>
      <c r="K69">
        <f>G69</f>
        <v>0.40511100000730949</v>
      </c>
      <c r="O69">
        <f t="shared" ca="1" si="17"/>
        <v>0.37484341110011266</v>
      </c>
      <c r="P69" s="62">
        <f t="shared" si="18"/>
        <v>0.39446791135997605</v>
      </c>
      <c r="Q69" s="2">
        <f t="shared" si="19"/>
        <v>37429.604299999999</v>
      </c>
      <c r="R69">
        <f>(P69-G69)^2</f>
        <v>1.1327533595499778E-4</v>
      </c>
      <c r="S69" s="4">
        <f>S$18</f>
        <v>1</v>
      </c>
      <c r="T69">
        <f t="shared" si="20"/>
        <v>1.1327533595499778E-4</v>
      </c>
    </row>
    <row r="70" spans="1:36" x14ac:dyDescent="0.2">
      <c r="A70" s="34" t="s">
        <v>51</v>
      </c>
      <c r="B70" s="33"/>
      <c r="C70" s="13">
        <v>52862.459499999997</v>
      </c>
      <c r="D70" s="34">
        <v>2E-3</v>
      </c>
      <c r="E70">
        <f t="shared" si="15"/>
        <v>11672.837007881983</v>
      </c>
      <c r="F70">
        <f t="shared" si="21"/>
        <v>11673</v>
      </c>
      <c r="O70">
        <f t="shared" ca="1" si="17"/>
        <v>0.39291664843679963</v>
      </c>
      <c r="P70" s="62">
        <f t="shared" si="18"/>
        <v>0.41090523460467349</v>
      </c>
      <c r="Q70" s="2">
        <f t="shared" si="19"/>
        <v>37843.959499999997</v>
      </c>
      <c r="T70">
        <f t="shared" si="20"/>
        <v>0</v>
      </c>
      <c r="U70" s="11">
        <v>-0.33828899999934947</v>
      </c>
    </row>
    <row r="71" spans="1:36" x14ac:dyDescent="0.2">
      <c r="A71" s="18" t="s">
        <v>41</v>
      </c>
      <c r="C71" s="28">
        <v>52890.197800000002</v>
      </c>
      <c r="D71" s="28"/>
      <c r="E71">
        <f t="shared" si="15"/>
        <v>11686.201687984496</v>
      </c>
      <c r="F71">
        <f t="shared" si="21"/>
        <v>11686</v>
      </c>
      <c r="G71">
        <f t="shared" ref="G71:G83" si="22">+C71-(C$7+F71*C$8)</f>
        <v>0.41860200000519399</v>
      </c>
      <c r="K71">
        <f>G71</f>
        <v>0.41860200000519399</v>
      </c>
      <c r="O71">
        <f t="shared" ca="1" si="17"/>
        <v>0.39409140886368421</v>
      </c>
      <c r="P71" s="62">
        <f t="shared" si="18"/>
        <v>0.41198513272599535</v>
      </c>
      <c r="Q71" s="2">
        <f t="shared" si="19"/>
        <v>37871.697800000002</v>
      </c>
      <c r="R71">
        <f t="shared" ref="R71:R83" si="23">(P71-G71)^2</f>
        <v>4.3782932590529543E-5</v>
      </c>
      <c r="S71" s="4">
        <f>S$18</f>
        <v>1</v>
      </c>
      <c r="T71">
        <f t="shared" si="20"/>
        <v>4.3782932590529543E-5</v>
      </c>
    </row>
    <row r="72" spans="1:36" x14ac:dyDescent="0.2">
      <c r="A72" s="35" t="s">
        <v>43</v>
      </c>
      <c r="B72" s="36"/>
      <c r="C72" s="37">
        <v>53639.475400000003</v>
      </c>
      <c r="D72" s="37">
        <v>1.1999999999999999E-3</v>
      </c>
      <c r="E72">
        <f t="shared" si="15"/>
        <v>12047.213553599075</v>
      </c>
      <c r="F72">
        <f t="shared" si="21"/>
        <v>12047</v>
      </c>
      <c r="G72">
        <f t="shared" si="22"/>
        <v>0.44322900000406662</v>
      </c>
      <c r="I72">
        <f t="shared" ref="I72:I77" si="24">G72</f>
        <v>0.44322900000406662</v>
      </c>
      <c r="O72">
        <f t="shared" ca="1" si="17"/>
        <v>0.42671360225640376</v>
      </c>
      <c r="P72" s="62">
        <f t="shared" si="18"/>
        <v>0.4425324428591062</v>
      </c>
      <c r="Q72" s="2">
        <f t="shared" si="19"/>
        <v>38620.975400000003</v>
      </c>
      <c r="R72">
        <f t="shared" si="23"/>
        <v>4.8519185619541032E-7</v>
      </c>
      <c r="S72" s="4">
        <f t="shared" ref="S72:S77" si="25">S$16</f>
        <v>0.1</v>
      </c>
      <c r="T72">
        <f t="shared" si="20"/>
        <v>4.8519185619541036E-8</v>
      </c>
    </row>
    <row r="73" spans="1:36" x14ac:dyDescent="0.2">
      <c r="A73" s="35" t="s">
        <v>43</v>
      </c>
      <c r="B73" s="36"/>
      <c r="C73" s="37">
        <v>53662.304100000001</v>
      </c>
      <c r="D73" s="37">
        <v>3.3E-3</v>
      </c>
      <c r="E73">
        <f t="shared" si="15"/>
        <v>12058.212723434868</v>
      </c>
      <c r="F73">
        <f t="shared" si="21"/>
        <v>12058</v>
      </c>
      <c r="G73">
        <f t="shared" si="22"/>
        <v>0.44150600000284612</v>
      </c>
      <c r="I73">
        <f t="shared" si="24"/>
        <v>0.44150600000284612</v>
      </c>
      <c r="O73">
        <f t="shared" ca="1" si="17"/>
        <v>0.42770763030992165</v>
      </c>
      <c r="P73" s="62">
        <f t="shared" si="18"/>
        <v>0.44348020069093552</v>
      </c>
      <c r="Q73" s="2">
        <f t="shared" si="19"/>
        <v>38643.804100000001</v>
      </c>
      <c r="R73">
        <f t="shared" si="23"/>
        <v>3.8974683568526618E-6</v>
      </c>
      <c r="S73" s="4">
        <f t="shared" si="25"/>
        <v>0.1</v>
      </c>
      <c r="T73">
        <f t="shared" si="20"/>
        <v>3.8974683568526618E-7</v>
      </c>
    </row>
    <row r="74" spans="1:36" x14ac:dyDescent="0.2">
      <c r="A74" s="35" t="s">
        <v>49</v>
      </c>
      <c r="B74" s="38" t="s">
        <v>34</v>
      </c>
      <c r="C74" s="37">
        <v>53942.506099999999</v>
      </c>
      <c r="D74" s="37">
        <v>8.0000000000000004E-4</v>
      </c>
      <c r="E74">
        <f t="shared" si="15"/>
        <v>12193.217755974123</v>
      </c>
      <c r="F74">
        <f t="shared" si="21"/>
        <v>12193</v>
      </c>
      <c r="G74">
        <f t="shared" si="22"/>
        <v>0.45195100000273669</v>
      </c>
      <c r="I74">
        <f t="shared" si="24"/>
        <v>0.45195100000273669</v>
      </c>
      <c r="O74">
        <f t="shared" ca="1" si="17"/>
        <v>0.43990706551218528</v>
      </c>
      <c r="P74" s="62">
        <f t="shared" si="18"/>
        <v>0.45519343363242049</v>
      </c>
      <c r="Q74" s="2">
        <f t="shared" si="19"/>
        <v>38924.006099999999</v>
      </c>
      <c r="R74">
        <f t="shared" si="23"/>
        <v>1.0513375842904424E-5</v>
      </c>
      <c r="S74" s="4">
        <f t="shared" si="25"/>
        <v>0.1</v>
      </c>
      <c r="T74">
        <f t="shared" si="20"/>
        <v>1.0513375842904425E-6</v>
      </c>
    </row>
    <row r="75" spans="1:36" x14ac:dyDescent="0.2">
      <c r="A75" s="37" t="s">
        <v>52</v>
      </c>
      <c r="B75" s="39" t="s">
        <v>34</v>
      </c>
      <c r="C75" s="37">
        <v>54405.355300000003</v>
      </c>
      <c r="D75" s="37">
        <v>6.9999999999999999E-4</v>
      </c>
      <c r="E75">
        <f t="shared" si="15"/>
        <v>12416.224627112693</v>
      </c>
      <c r="F75">
        <f t="shared" si="21"/>
        <v>12416</v>
      </c>
      <c r="G75">
        <f t="shared" si="22"/>
        <v>0.46621200000663521</v>
      </c>
      <c r="I75">
        <f t="shared" si="24"/>
        <v>0.46621200000663521</v>
      </c>
      <c r="O75">
        <f t="shared" ca="1" si="17"/>
        <v>0.46005872514259094</v>
      </c>
      <c r="P75" s="62">
        <f t="shared" si="18"/>
        <v>0.47487271555487687</v>
      </c>
      <c r="Q75" s="2">
        <f t="shared" si="19"/>
        <v>39386.855300000003</v>
      </c>
      <c r="R75">
        <f t="shared" si="23"/>
        <v>7.5007993807554827E-5</v>
      </c>
      <c r="S75" s="4">
        <f t="shared" si="25"/>
        <v>0.1</v>
      </c>
      <c r="T75">
        <f t="shared" si="20"/>
        <v>7.5007993807554832E-6</v>
      </c>
    </row>
    <row r="76" spans="1:36" x14ac:dyDescent="0.2">
      <c r="A76" s="55" t="s">
        <v>262</v>
      </c>
      <c r="B76" s="57" t="s">
        <v>34</v>
      </c>
      <c r="C76" s="55">
        <v>55096.523000000001</v>
      </c>
      <c r="D76" s="55" t="s">
        <v>66</v>
      </c>
      <c r="E76">
        <f t="shared" si="15"/>
        <v>12749.238373726148</v>
      </c>
      <c r="F76">
        <f t="shared" si="21"/>
        <v>12749</v>
      </c>
      <c r="G76">
        <f t="shared" si="22"/>
        <v>0.49474300000292715</v>
      </c>
      <c r="I76">
        <f t="shared" si="24"/>
        <v>0.49474300000292715</v>
      </c>
      <c r="O76">
        <f t="shared" ca="1" si="17"/>
        <v>0.49015066530817442</v>
      </c>
      <c r="P76" s="62">
        <f t="shared" si="18"/>
        <v>0.50502634434055149</v>
      </c>
      <c r="Q76" s="2">
        <f t="shared" si="19"/>
        <v>40078.023000000001</v>
      </c>
      <c r="R76">
        <f t="shared" si="23"/>
        <v>1.0574717076615068E-4</v>
      </c>
      <c r="S76" s="4">
        <f t="shared" si="25"/>
        <v>0.1</v>
      </c>
      <c r="T76">
        <f t="shared" si="20"/>
        <v>1.0574717076615069E-5</v>
      </c>
    </row>
    <row r="77" spans="1:36" x14ac:dyDescent="0.2">
      <c r="A77" s="35" t="s">
        <v>56</v>
      </c>
      <c r="B77" s="35"/>
      <c r="C77" s="37">
        <v>55397.478900000002</v>
      </c>
      <c r="D77" s="37">
        <v>3.5000000000000001E-3</v>
      </c>
      <c r="E77">
        <f t="shared" si="15"/>
        <v>12894.242909997771</v>
      </c>
      <c r="F77">
        <f t="shared" si="21"/>
        <v>12894</v>
      </c>
      <c r="G77">
        <f t="shared" si="22"/>
        <v>0.50415800000337185</v>
      </c>
      <c r="I77">
        <f t="shared" si="24"/>
        <v>0.50415800000337185</v>
      </c>
      <c r="O77">
        <f t="shared" ca="1" si="17"/>
        <v>0.50325376237727237</v>
      </c>
      <c r="P77" s="62">
        <f t="shared" si="18"/>
        <v>0.5184434577406164</v>
      </c>
      <c r="Q77" s="2">
        <f t="shared" si="19"/>
        <v>40378.978900000002</v>
      </c>
      <c r="R77">
        <f t="shared" si="23"/>
        <v>2.0407430276260004E-4</v>
      </c>
      <c r="S77" s="4">
        <f t="shared" si="25"/>
        <v>0.1</v>
      </c>
      <c r="T77">
        <f t="shared" si="20"/>
        <v>2.0407430276260005E-5</v>
      </c>
    </row>
    <row r="78" spans="1:36" x14ac:dyDescent="0.2">
      <c r="A78" s="55" t="s">
        <v>274</v>
      </c>
      <c r="B78" s="57" t="s">
        <v>34</v>
      </c>
      <c r="C78" s="55">
        <v>55416.158600000002</v>
      </c>
      <c r="D78" s="55" t="s">
        <v>66</v>
      </c>
      <c r="E78">
        <f t="shared" si="15"/>
        <v>12903.243036714653</v>
      </c>
      <c r="F78">
        <f t="shared" si="21"/>
        <v>12903</v>
      </c>
      <c r="G78">
        <f t="shared" si="22"/>
        <v>0.50442100000509527</v>
      </c>
      <c r="K78">
        <f>G78</f>
        <v>0.50442100000509527</v>
      </c>
      <c r="O78">
        <f t="shared" ca="1" si="17"/>
        <v>0.50406705805742336</v>
      </c>
      <c r="P78" s="62">
        <f t="shared" si="18"/>
        <v>0.51928198635937195</v>
      </c>
      <c r="Q78" s="2">
        <f t="shared" si="19"/>
        <v>40397.658600000002</v>
      </c>
      <c r="R78">
        <f t="shared" si="23"/>
        <v>2.208489154219978E-4</v>
      </c>
      <c r="S78" s="4">
        <f>S$18</f>
        <v>1</v>
      </c>
      <c r="T78">
        <f t="shared" si="20"/>
        <v>2.208489154219978E-4</v>
      </c>
    </row>
    <row r="79" spans="1:36" x14ac:dyDescent="0.2">
      <c r="A79" s="35" t="s">
        <v>53</v>
      </c>
      <c r="B79" s="39" t="s">
        <v>34</v>
      </c>
      <c r="C79" s="37">
        <v>56167.514600000002</v>
      </c>
      <c r="D79" s="37">
        <v>2.9999999999999997E-4</v>
      </c>
      <c r="E79">
        <f t="shared" si="15"/>
        <v>13265.256302960312</v>
      </c>
      <c r="F79" s="41">
        <f t="shared" ref="F79:F84" si="26">ROUND(2*E79,0)/2-0.5</f>
        <v>13265</v>
      </c>
      <c r="G79">
        <f t="shared" si="22"/>
        <v>0.53195500000583706</v>
      </c>
      <c r="I79">
        <f>G79</f>
        <v>0.53195500000583706</v>
      </c>
      <c r="O79">
        <f t="shared" ca="1" si="17"/>
        <v>0.53677961763682647</v>
      </c>
      <c r="P79" s="62">
        <f t="shared" si="18"/>
        <v>0.55356589094463704</v>
      </c>
      <c r="Q79" s="2">
        <f t="shared" si="19"/>
        <v>41149.014600000002</v>
      </c>
      <c r="R79">
        <f t="shared" si="23"/>
        <v>4.6703060716870692E-4</v>
      </c>
      <c r="S79" s="4">
        <f>S$16</f>
        <v>0.1</v>
      </c>
      <c r="T79">
        <f t="shared" si="20"/>
        <v>4.6703060716870696E-5</v>
      </c>
    </row>
    <row r="80" spans="1:36" x14ac:dyDescent="0.2">
      <c r="A80" s="34" t="s">
        <v>68</v>
      </c>
      <c r="B80" s="33"/>
      <c r="C80" s="34">
        <v>56933.404199999997</v>
      </c>
      <c r="D80" s="34">
        <v>2.0000000000000001E-4</v>
      </c>
      <c r="E80">
        <f t="shared" si="15"/>
        <v>13634.272050062324</v>
      </c>
      <c r="F80" s="41">
        <f t="shared" si="26"/>
        <v>13634</v>
      </c>
      <c r="G80">
        <f t="shared" si="22"/>
        <v>0.56463800000346964</v>
      </c>
      <c r="I80">
        <f>G80</f>
        <v>0.56463800000346964</v>
      </c>
      <c r="O80">
        <f t="shared" ca="1" si="17"/>
        <v>0.57012474052301365</v>
      </c>
      <c r="P80" s="62">
        <f t="shared" si="18"/>
        <v>0.58963028660886974</v>
      </c>
      <c r="Q80" s="2">
        <f t="shared" si="19"/>
        <v>41914.904199999997</v>
      </c>
      <c r="R80">
        <f t="shared" si="23"/>
        <v>6.2461438976646098E-4</v>
      </c>
      <c r="S80" s="4">
        <f>S$16</f>
        <v>0.1</v>
      </c>
      <c r="T80">
        <f t="shared" si="20"/>
        <v>6.24614389766461E-5</v>
      </c>
    </row>
    <row r="81" spans="1:20" x14ac:dyDescent="0.2">
      <c r="A81" s="73" t="s">
        <v>0</v>
      </c>
      <c r="B81" s="74" t="s">
        <v>34</v>
      </c>
      <c r="C81" s="74">
        <v>57240.592299999997</v>
      </c>
      <c r="D81" s="74">
        <v>1E-3</v>
      </c>
      <c r="E81">
        <f t="shared" si="15"/>
        <v>13782.279342787473</v>
      </c>
      <c r="F81" s="41">
        <f t="shared" si="26"/>
        <v>13782</v>
      </c>
      <c r="G81">
        <f t="shared" si="22"/>
        <v>0.57977400000527268</v>
      </c>
      <c r="K81">
        <f>G81</f>
        <v>0.57977400000527268</v>
      </c>
      <c r="O81">
        <f t="shared" ca="1" si="17"/>
        <v>0.58349893615216186</v>
      </c>
      <c r="P81" s="62">
        <f t="shared" si="18"/>
        <v>0.604412148821446</v>
      </c>
      <c r="Q81" s="2">
        <f t="shared" si="19"/>
        <v>42222.092299999997</v>
      </c>
      <c r="R81">
        <f t="shared" si="23"/>
        <v>6.0703837708790285E-4</v>
      </c>
      <c r="S81" s="4">
        <v>1</v>
      </c>
      <c r="T81">
        <f t="shared" si="20"/>
        <v>6.0703837708790285E-4</v>
      </c>
    </row>
    <row r="82" spans="1:20" x14ac:dyDescent="0.2">
      <c r="A82" s="71" t="s">
        <v>294</v>
      </c>
      <c r="B82" s="72" t="s">
        <v>34</v>
      </c>
      <c r="C82" s="73">
        <v>57265.499129999997</v>
      </c>
      <c r="D82" s="73">
        <v>2.9999999999999997E-4</v>
      </c>
      <c r="E82">
        <f t="shared" si="15"/>
        <v>13794.279783164771</v>
      </c>
      <c r="F82" s="41">
        <f t="shared" si="26"/>
        <v>13794</v>
      </c>
      <c r="G82">
        <f t="shared" si="22"/>
        <v>0.58068800000182819</v>
      </c>
      <c r="K82">
        <f>G82</f>
        <v>0.58068800000182819</v>
      </c>
      <c r="O82">
        <f t="shared" ca="1" si="17"/>
        <v>0.5845833303923631</v>
      </c>
      <c r="P82" s="62">
        <f t="shared" si="18"/>
        <v>0.60561863284947703</v>
      </c>
      <c r="Q82" s="2">
        <f t="shared" si="19"/>
        <v>42246.999129999997</v>
      </c>
      <c r="R82">
        <f t="shared" si="23"/>
        <v>6.2153645418426768E-4</v>
      </c>
      <c r="S82" s="4">
        <v>1</v>
      </c>
      <c r="T82">
        <f t="shared" si="20"/>
        <v>6.2153645418426768E-4</v>
      </c>
    </row>
    <row r="83" spans="1:20" x14ac:dyDescent="0.2">
      <c r="A83" s="73" t="s">
        <v>0</v>
      </c>
      <c r="B83" s="74" t="s">
        <v>34</v>
      </c>
      <c r="C83" s="74">
        <v>57952.517999999996</v>
      </c>
      <c r="D83" s="74">
        <v>5.0000000000000001E-4</v>
      </c>
      <c r="E83">
        <f t="shared" si="15"/>
        <v>14125.294568567564</v>
      </c>
      <c r="F83" s="41">
        <f t="shared" si="26"/>
        <v>14125</v>
      </c>
      <c r="G83">
        <f t="shared" si="22"/>
        <v>0.61137500000040745</v>
      </c>
      <c r="K83">
        <f>G83</f>
        <v>0.61137500000040745</v>
      </c>
      <c r="O83">
        <f t="shared" ca="1" si="17"/>
        <v>0.61449453818457966</v>
      </c>
      <c r="P83" s="62">
        <f t="shared" si="18"/>
        <v>0.6393678570552852</v>
      </c>
      <c r="Q83" s="2">
        <f t="shared" si="19"/>
        <v>42934.017999999996</v>
      </c>
      <c r="R83">
        <f t="shared" si="23"/>
        <v>7.8360004609481912E-4</v>
      </c>
      <c r="S83" s="4">
        <v>1</v>
      </c>
      <c r="T83">
        <f t="shared" si="20"/>
        <v>7.8360004609481912E-4</v>
      </c>
    </row>
    <row r="84" spans="1:20" x14ac:dyDescent="0.2">
      <c r="A84" s="75" t="s">
        <v>295</v>
      </c>
      <c r="B84" s="76" t="s">
        <v>34</v>
      </c>
      <c r="C84" s="77">
        <v>59067.105100000001</v>
      </c>
      <c r="D84" s="77" t="s">
        <v>65</v>
      </c>
      <c r="E84">
        <f>+(C84-C$7)/C$8</f>
        <v>14662.317386760642</v>
      </c>
      <c r="F84" s="41">
        <f t="shared" si="26"/>
        <v>14662</v>
      </c>
      <c r="G84">
        <f>+C84-(C$7+F84*C$8)</f>
        <v>0.65873400000418769</v>
      </c>
      <c r="K84">
        <f>G84</f>
        <v>0.65873400000418769</v>
      </c>
      <c r="O84">
        <f ca="1">+C$11+C$12*F84</f>
        <v>0.66302118043358371</v>
      </c>
      <c r="P84" s="62">
        <f>+D$11+D$12*F84+D$13*F84^2</f>
        <v>0.69605227289243132</v>
      </c>
      <c r="Q84" s="2">
        <f>+C84-15018.5</f>
        <v>44048.605100000001</v>
      </c>
      <c r="R84">
        <f>(P84-G84)^2</f>
        <v>1.3926534913614196E-3</v>
      </c>
      <c r="S84" s="4">
        <v>1</v>
      </c>
      <c r="T84">
        <f>+S84*R84</f>
        <v>1.3926534913614196E-3</v>
      </c>
    </row>
    <row r="85" spans="1:20" x14ac:dyDescent="0.2">
      <c r="A85" s="78" t="s">
        <v>296</v>
      </c>
      <c r="B85" s="79" t="s">
        <v>34</v>
      </c>
      <c r="C85" s="80">
        <v>59054.647799999999</v>
      </c>
      <c r="D85" s="78">
        <v>3.5000000000000001E-3</v>
      </c>
      <c r="E85">
        <f t="shared" ref="E85:E87" si="27">+(C85-C$7)/C$8</f>
        <v>14656.315294727567</v>
      </c>
      <c r="F85" s="41">
        <f t="shared" ref="F85:F87" si="28">ROUND(2*E85,0)/2-0.5</f>
        <v>14656</v>
      </c>
      <c r="G85">
        <f t="shared" ref="G85:G87" si="29">+C85-(C$7+F85*C$8)</f>
        <v>0.65439200000400888</v>
      </c>
      <c r="K85">
        <f t="shared" ref="K85:K87" si="30">G85</f>
        <v>0.65439200000400888</v>
      </c>
      <c r="O85">
        <f t="shared" ref="O85:O87" ca="1" si="31">+C$11+C$12*F85</f>
        <v>0.66247898331348321</v>
      </c>
      <c r="P85" s="62">
        <f t="shared" ref="P85:P87" si="32">+D$11+D$12*F85+D$13*F85^2</f>
        <v>0.69540572770106879</v>
      </c>
      <c r="Q85" s="2">
        <f t="shared" ref="Q85:Q87" si="33">+C85-15018.5</f>
        <v>44036.147799999999</v>
      </c>
      <c r="R85">
        <f t="shared" ref="R85:R87" si="34">(P85-G85)^2</f>
        <v>1.6821258596085792E-3</v>
      </c>
      <c r="S85" s="4">
        <v>1</v>
      </c>
      <c r="T85">
        <f t="shared" ref="T85:T87" si="35">+S85*R85</f>
        <v>1.6821258596085792E-3</v>
      </c>
    </row>
    <row r="86" spans="1:20" x14ac:dyDescent="0.2">
      <c r="A86" s="78" t="s">
        <v>296</v>
      </c>
      <c r="B86" s="79" t="s">
        <v>34</v>
      </c>
      <c r="C86" s="80">
        <v>59459.386400000003</v>
      </c>
      <c r="D86" s="78">
        <v>1E-4</v>
      </c>
      <c r="E86">
        <f t="shared" si="27"/>
        <v>14851.323709595747</v>
      </c>
      <c r="F86" s="41">
        <f t="shared" si="28"/>
        <v>14851</v>
      </c>
      <c r="G86">
        <f t="shared" si="29"/>
        <v>0.67185700000845827</v>
      </c>
      <c r="K86">
        <f t="shared" si="30"/>
        <v>0.67185700000845827</v>
      </c>
      <c r="O86">
        <f t="shared" ca="1" si="31"/>
        <v>0.6801003897167528</v>
      </c>
      <c r="P86" s="62">
        <f t="shared" si="32"/>
        <v>0.71657113859420396</v>
      </c>
      <c r="Q86" s="2">
        <f t="shared" si="33"/>
        <v>44440.886400000003</v>
      </c>
      <c r="R86">
        <f t="shared" si="34"/>
        <v>1.9993541894652717E-3</v>
      </c>
      <c r="S86" s="4">
        <v>1</v>
      </c>
      <c r="T86">
        <f t="shared" si="35"/>
        <v>1.9993541894652717E-3</v>
      </c>
    </row>
    <row r="87" spans="1:20" x14ac:dyDescent="0.2">
      <c r="A87" s="78" t="s">
        <v>296</v>
      </c>
      <c r="B87" s="79" t="s">
        <v>297</v>
      </c>
      <c r="C87" s="80">
        <v>59460.462099999997</v>
      </c>
      <c r="D87" s="78">
        <v>2.0000000000000001E-4</v>
      </c>
      <c r="E87">
        <f t="shared" si="27"/>
        <v>14851.841996094423</v>
      </c>
      <c r="F87" s="41">
        <f t="shared" si="28"/>
        <v>14851.5</v>
      </c>
      <c r="G87">
        <f t="shared" si="29"/>
        <v>0.70981049999682</v>
      </c>
      <c r="K87">
        <f t="shared" si="30"/>
        <v>0.70981049999682</v>
      </c>
      <c r="O87">
        <f t="shared" ca="1" si="31"/>
        <v>0.68014557281009447</v>
      </c>
      <c r="P87" s="62">
        <f t="shared" si="32"/>
        <v>0.7166258138618582</v>
      </c>
      <c r="Q87" s="2">
        <f t="shared" si="33"/>
        <v>44441.962099999997</v>
      </c>
      <c r="R87">
        <f t="shared" si="34"/>
        <v>4.6448503078981888E-5</v>
      </c>
      <c r="S87" s="4">
        <v>1</v>
      </c>
      <c r="T87">
        <f t="shared" si="35"/>
        <v>4.6448503078981888E-5</v>
      </c>
    </row>
    <row r="88" spans="1:20" x14ac:dyDescent="0.2">
      <c r="B88" s="4"/>
    </row>
    <row r="89" spans="1:20" x14ac:dyDescent="0.2">
      <c r="B89" s="4"/>
    </row>
    <row r="90" spans="1:20" x14ac:dyDescent="0.2">
      <c r="B90" s="4"/>
    </row>
    <row r="91" spans="1:20" x14ac:dyDescent="0.2">
      <c r="B91" s="4"/>
    </row>
    <row r="92" spans="1:20" x14ac:dyDescent="0.2">
      <c r="B92" s="4"/>
    </row>
    <row r="93" spans="1:20" x14ac:dyDescent="0.2">
      <c r="B93" s="4"/>
    </row>
    <row r="94" spans="1:20" x14ac:dyDescent="0.2">
      <c r="B94" s="4"/>
    </row>
    <row r="95" spans="1:20" x14ac:dyDescent="0.2">
      <c r="B95" s="4"/>
    </row>
    <row r="96" spans="1:20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</sheetData>
  <protectedRanges>
    <protectedRange sqref="A84:D84" name="Range1"/>
  </protectedRanges>
  <phoneticPr fontId="7" type="noConversion"/>
  <hyperlinks>
    <hyperlink ref="H1123" r:id="rId1" display="http://vsolj.cetus-net.org/bulletin.html" xr:uid="{00000000-0004-0000-0000-000000000000}"/>
    <hyperlink ref="H64707" r:id="rId2" display="http://vsolj.cetus-net.org/bulletin.html" xr:uid="{00000000-0004-0000-0000-000001000000}"/>
    <hyperlink ref="H64700" r:id="rId3" display="https://www.aavso.org/ejaavso" xr:uid="{00000000-0004-0000-0000-000002000000}"/>
    <hyperlink ref="AP851" r:id="rId4" display="http://cdsbib.u-strasbg.fr/cgi-bin/cdsbib?1990RMxAA..21..381G" xr:uid="{00000000-0004-0000-0000-000003000000}"/>
    <hyperlink ref="AP855" r:id="rId5" display="http://cdsbib.u-strasbg.fr/cgi-bin/cdsbib?1990RMxAA..21..381G" xr:uid="{00000000-0004-0000-0000-000004000000}"/>
    <hyperlink ref="AP854" r:id="rId6" display="http://cdsbib.u-strasbg.fr/cgi-bin/cdsbib?1990RMxAA..21..381G" xr:uid="{00000000-0004-0000-0000-000005000000}"/>
    <hyperlink ref="AP835" r:id="rId7" display="http://cdsbib.u-strasbg.fr/cgi-bin/cdsbib?1990RMxAA..21..381G" xr:uid="{00000000-0004-0000-0000-000006000000}"/>
    <hyperlink ref="I64707" r:id="rId8" display="http://vsolj.cetus-net.org/bulletin.html" xr:uid="{00000000-0004-0000-0000-000007000000}"/>
    <hyperlink ref="AQ991" r:id="rId9" display="http://cdsbib.u-strasbg.fr/cgi-bin/cdsbib?1990RMxAA..21..381G" xr:uid="{00000000-0004-0000-0000-000008000000}"/>
    <hyperlink ref="AQ55757" r:id="rId10" display="http://cdsbib.u-strasbg.fr/cgi-bin/cdsbib?1990RMxAA..21..381G" xr:uid="{00000000-0004-0000-0000-000009000000}"/>
    <hyperlink ref="AQ992" r:id="rId11" display="http://cdsbib.u-strasbg.fr/cgi-bin/cdsbib?1990RMxAA..21..381G" xr:uid="{00000000-0004-0000-0000-00000A000000}"/>
    <hyperlink ref="H64704" r:id="rId12" display="https://www.aavso.org/ejaavso" xr:uid="{00000000-0004-0000-0000-00000B000000}"/>
    <hyperlink ref="H1877" r:id="rId13" display="http://vsolj.cetus-net.org/bulletin.html" xr:uid="{00000000-0004-0000-0000-00000C000000}"/>
    <hyperlink ref="AP3121" r:id="rId14" display="http://cdsbib.u-strasbg.fr/cgi-bin/cdsbib?1990RMxAA..21..381G" xr:uid="{00000000-0004-0000-0000-00000D000000}"/>
    <hyperlink ref="AP3124" r:id="rId15" display="http://cdsbib.u-strasbg.fr/cgi-bin/cdsbib?1990RMxAA..21..381G" xr:uid="{00000000-0004-0000-0000-00000E000000}"/>
    <hyperlink ref="AP3122" r:id="rId16" display="http://cdsbib.u-strasbg.fr/cgi-bin/cdsbib?1990RMxAA..21..381G" xr:uid="{00000000-0004-0000-0000-00000F000000}"/>
    <hyperlink ref="AP3106" r:id="rId17" display="http://cdsbib.u-strasbg.fr/cgi-bin/cdsbib?1990RMxAA..21..381G" xr:uid="{00000000-0004-0000-0000-000010000000}"/>
    <hyperlink ref="I1877" r:id="rId18" display="http://vsolj.cetus-net.org/bulletin.html" xr:uid="{00000000-0004-0000-0000-000011000000}"/>
    <hyperlink ref="AQ3335" r:id="rId19" display="http://cdsbib.u-strasbg.fr/cgi-bin/cdsbib?1990RMxAA..21..381G" xr:uid="{00000000-0004-0000-0000-000012000000}"/>
    <hyperlink ref="AQ36" r:id="rId20" display="http://cdsbib.u-strasbg.fr/cgi-bin/cdsbib?1990RMxAA..21..381G" xr:uid="{00000000-0004-0000-0000-000013000000}"/>
    <hyperlink ref="AQ333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0"/>
  <sheetViews>
    <sheetView topLeftCell="A20" workbookViewId="0">
      <selection activeCell="A39" sqref="A39:D68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57</v>
      </c>
      <c r="I1" s="43" t="s">
        <v>58</v>
      </c>
      <c r="J1" s="44" t="s">
        <v>59</v>
      </c>
    </row>
    <row r="2" spans="1:16" x14ac:dyDescent="0.2">
      <c r="I2" s="45" t="s">
        <v>60</v>
      </c>
      <c r="J2" s="46" t="s">
        <v>61</v>
      </c>
    </row>
    <row r="3" spans="1:16" x14ac:dyDescent="0.2">
      <c r="A3" s="47" t="s">
        <v>62</v>
      </c>
      <c r="I3" s="45" t="s">
        <v>63</v>
      </c>
      <c r="J3" s="46" t="s">
        <v>35</v>
      </c>
    </row>
    <row r="4" spans="1:16" x14ac:dyDescent="0.2">
      <c r="I4" s="45" t="s">
        <v>64</v>
      </c>
      <c r="J4" s="46" t="s">
        <v>35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241 (=IBVS 6157) </v>
      </c>
      <c r="B11" s="4" t="str">
        <f t="shared" ref="B11:B42" si="1">IF(H11=INT(H11),"I","II")</f>
        <v>I</v>
      </c>
      <c r="C11" s="9">
        <f t="shared" ref="C11:C42" si="2">1*G11</f>
        <v>56933.404199999997</v>
      </c>
      <c r="D11" s="12" t="str">
        <f t="shared" ref="D11:D42" si="3">VLOOKUP(F11,I$1:J$5,2,FALSE)</f>
        <v>vis</v>
      </c>
      <c r="E11" s="50">
        <f>VLOOKUP(C11,Active!C$21:E$973,3,FALSE)</f>
        <v>13634.272050062324</v>
      </c>
      <c r="F11" s="4" t="s">
        <v>65</v>
      </c>
      <c r="G11" s="12" t="str">
        <f t="shared" ref="G11:G42" si="4">MID(I11,3,LEN(I11)-3)</f>
        <v>56933.4042</v>
      </c>
      <c r="H11" s="9">
        <f t="shared" ref="H11:H42" si="5">1*K11</f>
        <v>13634</v>
      </c>
      <c r="I11" s="51" t="s">
        <v>282</v>
      </c>
      <c r="J11" s="52" t="s">
        <v>283</v>
      </c>
      <c r="K11" s="51" t="s">
        <v>284</v>
      </c>
      <c r="L11" s="51" t="s">
        <v>285</v>
      </c>
      <c r="M11" s="52" t="s">
        <v>201</v>
      </c>
      <c r="N11" s="52" t="s">
        <v>185</v>
      </c>
      <c r="O11" s="53" t="s">
        <v>280</v>
      </c>
      <c r="P11" s="54" t="s">
        <v>286</v>
      </c>
    </row>
    <row r="12" spans="1:16" ht="12.75" customHeight="1" thickBot="1" x14ac:dyDescent="0.25">
      <c r="A12" s="9" t="str">
        <f t="shared" si="0"/>
        <v> AJ 64.263 </v>
      </c>
      <c r="B12" s="4" t="str">
        <f t="shared" si="1"/>
        <v>I</v>
      </c>
      <c r="C12" s="9">
        <f t="shared" si="2"/>
        <v>33201.639000000003</v>
      </c>
      <c r="D12" s="12" t="str">
        <f t="shared" si="3"/>
        <v>vis</v>
      </c>
      <c r="E12" s="50">
        <f>VLOOKUP(C12,Active!C$21:E$973,3,FALSE)</f>
        <v>2199.9934473399835</v>
      </c>
      <c r="F12" s="4" t="s">
        <v>65</v>
      </c>
      <c r="G12" s="12" t="str">
        <f t="shared" si="4"/>
        <v>33201.639</v>
      </c>
      <c r="H12" s="9">
        <f t="shared" si="5"/>
        <v>2200</v>
      </c>
      <c r="I12" s="51" t="s">
        <v>122</v>
      </c>
      <c r="J12" s="52" t="s">
        <v>123</v>
      </c>
      <c r="K12" s="51">
        <v>2200</v>
      </c>
      <c r="L12" s="51" t="s">
        <v>124</v>
      </c>
      <c r="M12" s="52" t="s">
        <v>67</v>
      </c>
      <c r="N12" s="52"/>
      <c r="O12" s="53" t="s">
        <v>117</v>
      </c>
      <c r="P12" s="53" t="s">
        <v>118</v>
      </c>
    </row>
    <row r="13" spans="1:16" ht="12.75" customHeight="1" thickBot="1" x14ac:dyDescent="0.25">
      <c r="A13" s="9" t="str">
        <f t="shared" si="0"/>
        <v> AJ 64.263 </v>
      </c>
      <c r="B13" s="4" t="str">
        <f t="shared" si="1"/>
        <v>I</v>
      </c>
      <c r="C13" s="9">
        <f t="shared" si="2"/>
        <v>33554.474000000002</v>
      </c>
      <c r="D13" s="12" t="str">
        <f t="shared" si="3"/>
        <v>vis</v>
      </c>
      <c r="E13" s="50">
        <f>VLOOKUP(C13,Active!C$21:E$973,3,FALSE)</f>
        <v>2369.9940206977344</v>
      </c>
      <c r="F13" s="4" t="s">
        <v>65</v>
      </c>
      <c r="G13" s="12" t="str">
        <f t="shared" si="4"/>
        <v>33554.474</v>
      </c>
      <c r="H13" s="9">
        <f t="shared" si="5"/>
        <v>2370</v>
      </c>
      <c r="I13" s="51" t="s">
        <v>125</v>
      </c>
      <c r="J13" s="52" t="s">
        <v>126</v>
      </c>
      <c r="K13" s="51">
        <v>2370</v>
      </c>
      <c r="L13" s="51" t="s">
        <v>127</v>
      </c>
      <c r="M13" s="52" t="s">
        <v>67</v>
      </c>
      <c r="N13" s="52"/>
      <c r="O13" s="53" t="s">
        <v>117</v>
      </c>
      <c r="P13" s="53" t="s">
        <v>118</v>
      </c>
    </row>
    <row r="14" spans="1:16" ht="12.75" customHeight="1" thickBot="1" x14ac:dyDescent="0.25">
      <c r="A14" s="9" t="str">
        <f t="shared" si="0"/>
        <v> AJ 64.263 </v>
      </c>
      <c r="B14" s="4" t="str">
        <f t="shared" si="1"/>
        <v>I</v>
      </c>
      <c r="C14" s="9">
        <f t="shared" si="2"/>
        <v>33886.559000000001</v>
      </c>
      <c r="D14" s="12" t="str">
        <f t="shared" si="3"/>
        <v>vis</v>
      </c>
      <c r="E14" s="50">
        <f>VLOOKUP(C14,Active!C$21:E$973,3,FALSE)</f>
        <v>2529.9969693947423</v>
      </c>
      <c r="F14" s="4" t="s">
        <v>65</v>
      </c>
      <c r="G14" s="12" t="str">
        <f t="shared" si="4"/>
        <v>33886.559</v>
      </c>
      <c r="H14" s="9">
        <f t="shared" si="5"/>
        <v>2530</v>
      </c>
      <c r="I14" s="51" t="s">
        <v>128</v>
      </c>
      <c r="J14" s="52" t="s">
        <v>129</v>
      </c>
      <c r="K14" s="51">
        <v>2530</v>
      </c>
      <c r="L14" s="51" t="s">
        <v>130</v>
      </c>
      <c r="M14" s="52" t="s">
        <v>67</v>
      </c>
      <c r="N14" s="52"/>
      <c r="O14" s="53" t="s">
        <v>117</v>
      </c>
      <c r="P14" s="53" t="s">
        <v>118</v>
      </c>
    </row>
    <row r="15" spans="1:16" ht="12.75" customHeight="1" thickBot="1" x14ac:dyDescent="0.25">
      <c r="A15" s="9" t="str">
        <f t="shared" si="0"/>
        <v> AJ 64.263 </v>
      </c>
      <c r="B15" s="4" t="str">
        <f t="shared" si="1"/>
        <v>I</v>
      </c>
      <c r="C15" s="9">
        <f t="shared" si="2"/>
        <v>34301.639000000003</v>
      </c>
      <c r="D15" s="12" t="str">
        <f t="shared" si="3"/>
        <v>vis</v>
      </c>
      <c r="E15" s="50">
        <f>VLOOKUP(C15,Active!C$21:E$973,3,FALSE)</f>
        <v>2729.9880076685413</v>
      </c>
      <c r="F15" s="4" t="s">
        <v>65</v>
      </c>
      <c r="G15" s="12" t="str">
        <f t="shared" si="4"/>
        <v>34301.639</v>
      </c>
      <c r="H15" s="9">
        <f t="shared" si="5"/>
        <v>2730</v>
      </c>
      <c r="I15" s="51" t="s">
        <v>131</v>
      </c>
      <c r="J15" s="52" t="s">
        <v>132</v>
      </c>
      <c r="K15" s="51">
        <v>2730</v>
      </c>
      <c r="L15" s="51" t="s">
        <v>133</v>
      </c>
      <c r="M15" s="52" t="s">
        <v>67</v>
      </c>
      <c r="N15" s="52"/>
      <c r="O15" s="53" t="s">
        <v>117</v>
      </c>
      <c r="P15" s="53" t="s">
        <v>118</v>
      </c>
    </row>
    <row r="16" spans="1:16" ht="12.75" customHeight="1" thickBot="1" x14ac:dyDescent="0.25">
      <c r="A16" s="9" t="str">
        <f t="shared" si="0"/>
        <v> AJ 64.263 </v>
      </c>
      <c r="B16" s="4" t="str">
        <f t="shared" si="1"/>
        <v>I</v>
      </c>
      <c r="C16" s="9">
        <f t="shared" si="2"/>
        <v>34633.718000000001</v>
      </c>
      <c r="D16" s="12" t="str">
        <f t="shared" si="3"/>
        <v>vis</v>
      </c>
      <c r="E16" s="50">
        <f>VLOOKUP(C16,Active!C$21:E$973,3,FALSE)</f>
        <v>2889.988065486129</v>
      </c>
      <c r="F16" s="4" t="s">
        <v>65</v>
      </c>
      <c r="G16" s="12" t="str">
        <f t="shared" si="4"/>
        <v>34633.718</v>
      </c>
      <c r="H16" s="9">
        <f t="shared" si="5"/>
        <v>2890</v>
      </c>
      <c r="I16" s="51" t="s">
        <v>140</v>
      </c>
      <c r="J16" s="52" t="s">
        <v>141</v>
      </c>
      <c r="K16" s="51">
        <v>2890</v>
      </c>
      <c r="L16" s="51" t="s">
        <v>133</v>
      </c>
      <c r="M16" s="52" t="s">
        <v>67</v>
      </c>
      <c r="N16" s="52"/>
      <c r="O16" s="53" t="s">
        <v>117</v>
      </c>
      <c r="P16" s="53" t="s">
        <v>118</v>
      </c>
    </row>
    <row r="17" spans="1:16" ht="12.75" customHeight="1" thickBot="1" x14ac:dyDescent="0.25">
      <c r="A17" s="9" t="str">
        <f t="shared" si="0"/>
        <v> AJ 64.263 </v>
      </c>
      <c r="B17" s="4" t="str">
        <f t="shared" si="1"/>
        <v>I</v>
      </c>
      <c r="C17" s="9">
        <f t="shared" si="2"/>
        <v>35345.627999999997</v>
      </c>
      <c r="D17" s="12" t="str">
        <f t="shared" si="3"/>
        <v>vis</v>
      </c>
      <c r="E17" s="50">
        <f>VLOOKUP(C17,Active!C$21:E$973,3,FALSE)</f>
        <v>3232.9957267984032</v>
      </c>
      <c r="F17" s="4" t="s">
        <v>65</v>
      </c>
      <c r="G17" s="12" t="str">
        <f t="shared" si="4"/>
        <v>35345.628</v>
      </c>
      <c r="H17" s="9">
        <f t="shared" si="5"/>
        <v>3233</v>
      </c>
      <c r="I17" s="51" t="s">
        <v>156</v>
      </c>
      <c r="J17" s="52" t="s">
        <v>157</v>
      </c>
      <c r="K17" s="51">
        <v>3233</v>
      </c>
      <c r="L17" s="51" t="s">
        <v>158</v>
      </c>
      <c r="M17" s="52" t="s">
        <v>67</v>
      </c>
      <c r="N17" s="52"/>
      <c r="O17" s="53" t="s">
        <v>117</v>
      </c>
      <c r="P17" s="53" t="s">
        <v>118</v>
      </c>
    </row>
    <row r="18" spans="1:16" ht="12.75" customHeight="1" thickBot="1" x14ac:dyDescent="0.25">
      <c r="A18" s="9" t="str">
        <f t="shared" si="0"/>
        <v> HABZ 28 </v>
      </c>
      <c r="B18" s="4" t="str">
        <f t="shared" si="1"/>
        <v>I</v>
      </c>
      <c r="C18" s="9">
        <f t="shared" si="2"/>
        <v>36902.264000000003</v>
      </c>
      <c r="D18" s="12" t="str">
        <f t="shared" si="3"/>
        <v>vis</v>
      </c>
      <c r="E18" s="50">
        <f>VLOOKUP(C18,Active!C$21:E$973,3,FALSE)</f>
        <v>3983.0035562635021</v>
      </c>
      <c r="F18" s="4" t="s">
        <v>65</v>
      </c>
      <c r="G18" s="12" t="str">
        <f t="shared" si="4"/>
        <v>36902.264</v>
      </c>
      <c r="H18" s="9">
        <f t="shared" si="5"/>
        <v>3983</v>
      </c>
      <c r="I18" s="51" t="s">
        <v>175</v>
      </c>
      <c r="J18" s="52" t="s">
        <v>176</v>
      </c>
      <c r="K18" s="51">
        <v>3983</v>
      </c>
      <c r="L18" s="51" t="s">
        <v>136</v>
      </c>
      <c r="M18" s="52" t="s">
        <v>72</v>
      </c>
      <c r="N18" s="52"/>
      <c r="O18" s="53" t="s">
        <v>177</v>
      </c>
      <c r="P18" s="53" t="s">
        <v>178</v>
      </c>
    </row>
    <row r="19" spans="1:16" ht="12.75" customHeight="1" thickBot="1" x14ac:dyDescent="0.25">
      <c r="A19" s="9" t="str">
        <f t="shared" si="0"/>
        <v> HABZ 28 </v>
      </c>
      <c r="B19" s="4" t="str">
        <f t="shared" si="1"/>
        <v>I</v>
      </c>
      <c r="C19" s="9">
        <f t="shared" si="2"/>
        <v>38255.498</v>
      </c>
      <c r="D19" s="12" t="str">
        <f t="shared" si="3"/>
        <v>vis</v>
      </c>
      <c r="E19" s="50">
        <f>VLOOKUP(C19,Active!C$21:E$973,3,FALSE)</f>
        <v>4635.0096097650057</v>
      </c>
      <c r="F19" s="4" t="s">
        <v>65</v>
      </c>
      <c r="G19" s="12" t="str">
        <f t="shared" si="4"/>
        <v>38255.498</v>
      </c>
      <c r="H19" s="9">
        <f t="shared" si="5"/>
        <v>4635</v>
      </c>
      <c r="I19" s="51" t="s">
        <v>179</v>
      </c>
      <c r="J19" s="52" t="s">
        <v>180</v>
      </c>
      <c r="K19" s="51">
        <v>4635</v>
      </c>
      <c r="L19" s="51" t="s">
        <v>95</v>
      </c>
      <c r="M19" s="52" t="s">
        <v>72</v>
      </c>
      <c r="N19" s="52"/>
      <c r="O19" s="53" t="s">
        <v>177</v>
      </c>
      <c r="P19" s="53" t="s">
        <v>178</v>
      </c>
    </row>
    <row r="20" spans="1:16" ht="12.75" customHeight="1" thickBot="1" x14ac:dyDescent="0.25">
      <c r="A20" s="9" t="str">
        <f t="shared" si="0"/>
        <v>BAVM 132 </v>
      </c>
      <c r="B20" s="4" t="str">
        <f t="shared" si="1"/>
        <v>I</v>
      </c>
      <c r="C20" s="9">
        <f t="shared" si="2"/>
        <v>49930.4594</v>
      </c>
      <c r="D20" s="12" t="str">
        <f t="shared" si="3"/>
        <v>vis</v>
      </c>
      <c r="E20" s="50">
        <f>VLOOKUP(C20,Active!C$21:E$973,3,FALSE)</f>
        <v>10260.160549806722</v>
      </c>
      <c r="F20" s="4" t="s">
        <v>65</v>
      </c>
      <c r="G20" s="12" t="str">
        <f t="shared" si="4"/>
        <v>49930.4594</v>
      </c>
      <c r="H20" s="9">
        <f t="shared" si="5"/>
        <v>10260</v>
      </c>
      <c r="I20" s="51" t="s">
        <v>181</v>
      </c>
      <c r="J20" s="52" t="s">
        <v>182</v>
      </c>
      <c r="K20" s="51">
        <v>10260</v>
      </c>
      <c r="L20" s="51" t="s">
        <v>183</v>
      </c>
      <c r="M20" s="52" t="s">
        <v>184</v>
      </c>
      <c r="N20" s="52" t="s">
        <v>185</v>
      </c>
      <c r="O20" s="53" t="s">
        <v>186</v>
      </c>
      <c r="P20" s="54" t="s">
        <v>187</v>
      </c>
    </row>
    <row r="21" spans="1:16" ht="12.75" customHeight="1" thickBot="1" x14ac:dyDescent="0.25">
      <c r="A21" s="9" t="str">
        <f t="shared" si="0"/>
        <v>BAVM 132 </v>
      </c>
      <c r="B21" s="4" t="str">
        <f t="shared" si="1"/>
        <v>I</v>
      </c>
      <c r="C21" s="9">
        <f t="shared" si="2"/>
        <v>50700.482300000003</v>
      </c>
      <c r="D21" s="12" t="str">
        <f t="shared" si="3"/>
        <v>vis</v>
      </c>
      <c r="E21" s="50">
        <f>VLOOKUP(C21,Active!C$21:E$973,3,FALSE)</f>
        <v>10631.167775559834</v>
      </c>
      <c r="F21" s="4" t="s">
        <v>65</v>
      </c>
      <c r="G21" s="12" t="str">
        <f t="shared" si="4"/>
        <v>50700.4823</v>
      </c>
      <c r="H21" s="9">
        <f t="shared" si="5"/>
        <v>10631</v>
      </c>
      <c r="I21" s="51" t="s">
        <v>188</v>
      </c>
      <c r="J21" s="52" t="s">
        <v>189</v>
      </c>
      <c r="K21" s="51">
        <v>10631</v>
      </c>
      <c r="L21" s="51" t="s">
        <v>190</v>
      </c>
      <c r="M21" s="52" t="s">
        <v>184</v>
      </c>
      <c r="N21" s="52" t="s">
        <v>185</v>
      </c>
      <c r="O21" s="53" t="s">
        <v>191</v>
      </c>
      <c r="P21" s="54" t="s">
        <v>187</v>
      </c>
    </row>
    <row r="22" spans="1:16" ht="12.75" customHeight="1" thickBot="1" x14ac:dyDescent="0.25">
      <c r="A22" s="9" t="str">
        <f t="shared" si="0"/>
        <v>BAVM 132 </v>
      </c>
      <c r="B22" s="4" t="str">
        <f t="shared" si="1"/>
        <v>I</v>
      </c>
      <c r="C22" s="9">
        <f t="shared" si="2"/>
        <v>50750.309600000001</v>
      </c>
      <c r="D22" s="12" t="str">
        <f t="shared" si="3"/>
        <v>vis</v>
      </c>
      <c r="E22" s="50">
        <f>VLOOKUP(C22,Active!C$21:E$973,3,FALSE)</f>
        <v>10655.175228246977</v>
      </c>
      <c r="F22" s="4" t="s">
        <v>65</v>
      </c>
      <c r="G22" s="12" t="str">
        <f t="shared" si="4"/>
        <v>50750.3096</v>
      </c>
      <c r="H22" s="9">
        <f t="shared" si="5"/>
        <v>10655</v>
      </c>
      <c r="I22" s="51" t="s">
        <v>192</v>
      </c>
      <c r="J22" s="52" t="s">
        <v>193</v>
      </c>
      <c r="K22" s="51">
        <v>10655</v>
      </c>
      <c r="L22" s="51" t="s">
        <v>194</v>
      </c>
      <c r="M22" s="52" t="s">
        <v>184</v>
      </c>
      <c r="N22" s="52" t="s">
        <v>185</v>
      </c>
      <c r="O22" s="53" t="s">
        <v>191</v>
      </c>
      <c r="P22" s="54" t="s">
        <v>187</v>
      </c>
    </row>
    <row r="23" spans="1:16" ht="12.75" customHeight="1" thickBot="1" x14ac:dyDescent="0.25">
      <c r="A23" s="9" t="str">
        <f t="shared" si="0"/>
        <v>BAVM 132 </v>
      </c>
      <c r="B23" s="4" t="str">
        <f t="shared" si="1"/>
        <v>I</v>
      </c>
      <c r="C23" s="9">
        <f t="shared" si="2"/>
        <v>50949.545599999998</v>
      </c>
      <c r="D23" s="12" t="str">
        <f t="shared" si="3"/>
        <v>vis</v>
      </c>
      <c r="E23" s="50">
        <f>VLOOKUP(C23,Active!C$21:E$973,3,FALSE)</f>
        <v>10751.169770266632</v>
      </c>
      <c r="F23" s="4" t="s">
        <v>65</v>
      </c>
      <c r="G23" s="12" t="str">
        <f t="shared" si="4"/>
        <v>50949.5456</v>
      </c>
      <c r="H23" s="9">
        <f t="shared" si="5"/>
        <v>10751</v>
      </c>
      <c r="I23" s="51" t="s">
        <v>195</v>
      </c>
      <c r="J23" s="52" t="s">
        <v>196</v>
      </c>
      <c r="K23" s="51">
        <v>10751</v>
      </c>
      <c r="L23" s="51" t="s">
        <v>197</v>
      </c>
      <c r="M23" s="52" t="s">
        <v>184</v>
      </c>
      <c r="N23" s="52" t="s">
        <v>185</v>
      </c>
      <c r="O23" s="53" t="s">
        <v>191</v>
      </c>
      <c r="P23" s="54" t="s">
        <v>187</v>
      </c>
    </row>
    <row r="24" spans="1:16" ht="12.75" customHeight="1" thickBot="1" x14ac:dyDescent="0.25">
      <c r="A24" s="9" t="str">
        <f t="shared" si="0"/>
        <v>BAVM 178 </v>
      </c>
      <c r="B24" s="4" t="str">
        <f t="shared" si="1"/>
        <v>I</v>
      </c>
      <c r="C24" s="9">
        <f t="shared" si="2"/>
        <v>51032.571600000003</v>
      </c>
      <c r="D24" s="12" t="str">
        <f t="shared" si="3"/>
        <v>vis</v>
      </c>
      <c r="E24" s="50">
        <f>VLOOKUP(C24,Active!C$21:E$973,3,FALSE)</f>
        <v>10791.172796053759</v>
      </c>
      <c r="F24" s="4" t="s">
        <v>65</v>
      </c>
      <c r="G24" s="12" t="str">
        <f t="shared" si="4"/>
        <v>51032.5716</v>
      </c>
      <c r="H24" s="9">
        <f t="shared" si="5"/>
        <v>10791</v>
      </c>
      <c r="I24" s="51" t="s">
        <v>198</v>
      </c>
      <c r="J24" s="52" t="s">
        <v>199</v>
      </c>
      <c r="K24" s="51">
        <v>10791</v>
      </c>
      <c r="L24" s="51" t="s">
        <v>200</v>
      </c>
      <c r="M24" s="52" t="s">
        <v>201</v>
      </c>
      <c r="N24" s="52" t="s">
        <v>185</v>
      </c>
      <c r="O24" s="53" t="s">
        <v>202</v>
      </c>
      <c r="P24" s="54" t="s">
        <v>203</v>
      </c>
    </row>
    <row r="25" spans="1:16" ht="12.75" customHeight="1" thickBot="1" x14ac:dyDescent="0.25">
      <c r="A25" s="9" t="str">
        <f t="shared" si="0"/>
        <v>BAVM 132 </v>
      </c>
      <c r="B25" s="4" t="str">
        <f t="shared" si="1"/>
        <v>I</v>
      </c>
      <c r="C25" s="9">
        <f t="shared" si="2"/>
        <v>51416.543899999997</v>
      </c>
      <c r="D25" s="12" t="str">
        <f t="shared" si="3"/>
        <v>vis</v>
      </c>
      <c r="E25" s="50">
        <f>VLOOKUP(C25,Active!C$21:E$973,3,FALSE)</f>
        <v>10976.175732705435</v>
      </c>
      <c r="F25" s="4" t="s">
        <v>65</v>
      </c>
      <c r="G25" s="12" t="str">
        <f t="shared" si="4"/>
        <v>51416.5439</v>
      </c>
      <c r="H25" s="9">
        <f t="shared" si="5"/>
        <v>10976</v>
      </c>
      <c r="I25" s="51" t="s">
        <v>204</v>
      </c>
      <c r="J25" s="52" t="s">
        <v>205</v>
      </c>
      <c r="K25" s="51">
        <v>10976</v>
      </c>
      <c r="L25" s="51" t="s">
        <v>206</v>
      </c>
      <c r="M25" s="52" t="s">
        <v>184</v>
      </c>
      <c r="N25" s="52" t="s">
        <v>185</v>
      </c>
      <c r="O25" s="53" t="s">
        <v>191</v>
      </c>
      <c r="P25" s="54" t="s">
        <v>187</v>
      </c>
    </row>
    <row r="26" spans="1:16" ht="12.75" customHeight="1" thickBot="1" x14ac:dyDescent="0.25">
      <c r="A26" s="9" t="str">
        <f t="shared" si="0"/>
        <v>BAVM 132 </v>
      </c>
      <c r="B26" s="4" t="str">
        <f t="shared" si="1"/>
        <v>I</v>
      </c>
      <c r="C26" s="9">
        <f t="shared" si="2"/>
        <v>51468.428800000002</v>
      </c>
      <c r="D26" s="12" t="str">
        <f t="shared" si="3"/>
        <v>vis</v>
      </c>
      <c r="E26" s="50">
        <f>VLOOKUP(C26,Active!C$21:E$973,3,FALSE)</f>
        <v>11001.174564308338</v>
      </c>
      <c r="F26" s="4" t="s">
        <v>65</v>
      </c>
      <c r="G26" s="12" t="str">
        <f t="shared" si="4"/>
        <v>51468.4288</v>
      </c>
      <c r="H26" s="9">
        <f t="shared" si="5"/>
        <v>11001</v>
      </c>
      <c r="I26" s="51" t="s">
        <v>207</v>
      </c>
      <c r="J26" s="52" t="s">
        <v>208</v>
      </c>
      <c r="K26" s="51">
        <v>11001</v>
      </c>
      <c r="L26" s="51" t="s">
        <v>209</v>
      </c>
      <c r="M26" s="52" t="s">
        <v>184</v>
      </c>
      <c r="N26" s="52" t="s">
        <v>185</v>
      </c>
      <c r="O26" s="53" t="s">
        <v>191</v>
      </c>
      <c r="P26" s="54" t="s">
        <v>187</v>
      </c>
    </row>
    <row r="27" spans="1:16" ht="12.75" customHeight="1" thickBot="1" x14ac:dyDescent="0.25">
      <c r="A27" s="9" t="str">
        <f t="shared" si="0"/>
        <v>BAVM 152 </v>
      </c>
      <c r="B27" s="4" t="str">
        <f t="shared" si="1"/>
        <v>I</v>
      </c>
      <c r="C27" s="9">
        <f t="shared" si="2"/>
        <v>51771.462500000001</v>
      </c>
      <c r="D27" s="12" t="str">
        <f t="shared" si="3"/>
        <v>vis</v>
      </c>
      <c r="E27" s="50">
        <f>VLOOKUP(C27,Active!C$21:E$973,3,FALSE)</f>
        <v>11147.180212123098</v>
      </c>
      <c r="F27" s="4" t="s">
        <v>65</v>
      </c>
      <c r="G27" s="12" t="str">
        <f t="shared" si="4"/>
        <v>51771.4625</v>
      </c>
      <c r="H27" s="9">
        <f t="shared" si="5"/>
        <v>11147</v>
      </c>
      <c r="I27" s="51" t="s">
        <v>210</v>
      </c>
      <c r="J27" s="52" t="s">
        <v>211</v>
      </c>
      <c r="K27" s="51">
        <v>11147</v>
      </c>
      <c r="L27" s="51" t="s">
        <v>212</v>
      </c>
      <c r="M27" s="52" t="s">
        <v>184</v>
      </c>
      <c r="N27" s="52" t="s">
        <v>185</v>
      </c>
      <c r="O27" s="53" t="s">
        <v>191</v>
      </c>
      <c r="P27" s="54" t="s">
        <v>213</v>
      </c>
    </row>
    <row r="28" spans="1:16" ht="12.75" customHeight="1" thickBot="1" x14ac:dyDescent="0.25">
      <c r="A28" s="9" t="str">
        <f t="shared" si="0"/>
        <v>BAVM 152 </v>
      </c>
      <c r="B28" s="4" t="str">
        <f t="shared" si="1"/>
        <v>I</v>
      </c>
      <c r="C28" s="9">
        <f t="shared" si="2"/>
        <v>51773.541700000002</v>
      </c>
      <c r="D28" s="12" t="str">
        <f t="shared" si="3"/>
        <v>vis</v>
      </c>
      <c r="E28" s="50">
        <f>VLOOKUP(C28,Active!C$21:E$973,3,FALSE)</f>
        <v>11148.181998204765</v>
      </c>
      <c r="F28" s="4" t="s">
        <v>65</v>
      </c>
      <c r="G28" s="12" t="str">
        <f t="shared" si="4"/>
        <v>51773.5417</v>
      </c>
      <c r="H28" s="9">
        <f t="shared" si="5"/>
        <v>11148</v>
      </c>
      <c r="I28" s="51" t="s">
        <v>214</v>
      </c>
      <c r="J28" s="52" t="s">
        <v>215</v>
      </c>
      <c r="K28" s="51">
        <v>11148</v>
      </c>
      <c r="L28" s="51" t="s">
        <v>216</v>
      </c>
      <c r="M28" s="52" t="s">
        <v>184</v>
      </c>
      <c r="N28" s="52" t="s">
        <v>185</v>
      </c>
      <c r="O28" s="53" t="s">
        <v>191</v>
      </c>
      <c r="P28" s="54" t="s">
        <v>213</v>
      </c>
    </row>
    <row r="29" spans="1:16" ht="12.75" customHeight="1" thickBot="1" x14ac:dyDescent="0.25">
      <c r="A29" s="9" t="str">
        <f t="shared" si="0"/>
        <v>BAVM 152 </v>
      </c>
      <c r="B29" s="4" t="str">
        <f t="shared" si="1"/>
        <v>I</v>
      </c>
      <c r="C29" s="9">
        <f t="shared" si="2"/>
        <v>51798.445800000001</v>
      </c>
      <c r="D29" s="12" t="str">
        <f t="shared" si="3"/>
        <v>vis</v>
      </c>
      <c r="E29" s="50">
        <f>VLOOKUP(C29,Active!C$21:E$973,3,FALSE)</f>
        <v>11160.181123231929</v>
      </c>
      <c r="F29" s="4" t="s">
        <v>65</v>
      </c>
      <c r="G29" s="12" t="str">
        <f t="shared" si="4"/>
        <v>51798.4458</v>
      </c>
      <c r="H29" s="9">
        <f t="shared" si="5"/>
        <v>11160</v>
      </c>
      <c r="I29" s="51" t="s">
        <v>217</v>
      </c>
      <c r="J29" s="52" t="s">
        <v>218</v>
      </c>
      <c r="K29" s="51">
        <v>11160</v>
      </c>
      <c r="L29" s="51" t="s">
        <v>219</v>
      </c>
      <c r="M29" s="52" t="s">
        <v>184</v>
      </c>
      <c r="N29" s="52" t="s">
        <v>185</v>
      </c>
      <c r="O29" s="53" t="s">
        <v>191</v>
      </c>
      <c r="P29" s="54" t="s">
        <v>213</v>
      </c>
    </row>
    <row r="30" spans="1:16" ht="12.75" customHeight="1" thickBot="1" x14ac:dyDescent="0.25">
      <c r="A30" s="9" t="str">
        <f t="shared" si="0"/>
        <v>BAVM 152 </v>
      </c>
      <c r="B30" s="4" t="str">
        <f t="shared" si="1"/>
        <v>I</v>
      </c>
      <c r="C30" s="9">
        <f t="shared" si="2"/>
        <v>51850.338900000002</v>
      </c>
      <c r="D30" s="12" t="str">
        <f t="shared" si="3"/>
        <v>vis</v>
      </c>
      <c r="E30" s="50">
        <f>VLOOKUP(C30,Active!C$21:E$973,3,FALSE)</f>
        <v>11185.18390570337</v>
      </c>
      <c r="F30" s="4" t="s">
        <v>65</v>
      </c>
      <c r="G30" s="12" t="str">
        <f t="shared" si="4"/>
        <v>51850.3389</v>
      </c>
      <c r="H30" s="9">
        <f t="shared" si="5"/>
        <v>11185</v>
      </c>
      <c r="I30" s="51" t="s">
        <v>220</v>
      </c>
      <c r="J30" s="52" t="s">
        <v>221</v>
      </c>
      <c r="K30" s="51">
        <v>11185</v>
      </c>
      <c r="L30" s="51" t="s">
        <v>222</v>
      </c>
      <c r="M30" s="52" t="s">
        <v>184</v>
      </c>
      <c r="N30" s="52" t="s">
        <v>185</v>
      </c>
      <c r="O30" s="53" t="s">
        <v>191</v>
      </c>
      <c r="P30" s="54" t="s">
        <v>213</v>
      </c>
    </row>
    <row r="31" spans="1:16" ht="12.75" customHeight="1" thickBot="1" x14ac:dyDescent="0.25">
      <c r="A31" s="9" t="str">
        <f t="shared" si="0"/>
        <v>BAVM 172 </v>
      </c>
      <c r="B31" s="4" t="str">
        <f t="shared" si="1"/>
        <v>II</v>
      </c>
      <c r="C31" s="9">
        <f t="shared" si="2"/>
        <v>52862.459499999997</v>
      </c>
      <c r="D31" s="12" t="str">
        <f t="shared" si="3"/>
        <v>vis</v>
      </c>
      <c r="E31" s="50">
        <f>VLOOKUP(C31,Active!C$21:E$973,3,FALSE)</f>
        <v>11672.837007881983</v>
      </c>
      <c r="F31" s="4" t="s">
        <v>65</v>
      </c>
      <c r="G31" s="12" t="str">
        <f t="shared" si="4"/>
        <v>52862.4595</v>
      </c>
      <c r="H31" s="9">
        <f t="shared" si="5"/>
        <v>11672.5</v>
      </c>
      <c r="I31" s="51" t="s">
        <v>229</v>
      </c>
      <c r="J31" s="52" t="s">
        <v>230</v>
      </c>
      <c r="K31" s="51">
        <v>11672.5</v>
      </c>
      <c r="L31" s="51" t="s">
        <v>231</v>
      </c>
      <c r="M31" s="52" t="s">
        <v>184</v>
      </c>
      <c r="N31" s="52" t="s">
        <v>185</v>
      </c>
      <c r="O31" s="53" t="s">
        <v>191</v>
      </c>
      <c r="P31" s="54" t="s">
        <v>232</v>
      </c>
    </row>
    <row r="32" spans="1:16" ht="12.75" customHeight="1" thickBot="1" x14ac:dyDescent="0.25">
      <c r="A32" s="9" t="str">
        <f t="shared" si="0"/>
        <v>IBVS 5592 </v>
      </c>
      <c r="B32" s="4" t="str">
        <f t="shared" si="1"/>
        <v>I</v>
      </c>
      <c r="C32" s="9">
        <f t="shared" si="2"/>
        <v>52890.197800000002</v>
      </c>
      <c r="D32" s="12" t="str">
        <f t="shared" si="3"/>
        <v>vis</v>
      </c>
      <c r="E32" s="50">
        <f>VLOOKUP(C32,Active!C$21:E$973,3,FALSE)</f>
        <v>11686.201687984496</v>
      </c>
      <c r="F32" s="4" t="s">
        <v>65</v>
      </c>
      <c r="G32" s="12" t="str">
        <f t="shared" si="4"/>
        <v>52890.1978</v>
      </c>
      <c r="H32" s="9">
        <f t="shared" si="5"/>
        <v>11686</v>
      </c>
      <c r="I32" s="51" t="s">
        <v>233</v>
      </c>
      <c r="J32" s="52" t="s">
        <v>234</v>
      </c>
      <c r="K32" s="51">
        <v>11686</v>
      </c>
      <c r="L32" s="51" t="s">
        <v>235</v>
      </c>
      <c r="M32" s="52" t="s">
        <v>184</v>
      </c>
      <c r="N32" s="52" t="s">
        <v>226</v>
      </c>
      <c r="O32" s="53" t="s">
        <v>236</v>
      </c>
      <c r="P32" s="54" t="s">
        <v>237</v>
      </c>
    </row>
    <row r="33" spans="1:16" ht="12.75" customHeight="1" thickBot="1" x14ac:dyDescent="0.25">
      <c r="A33" s="9" t="str">
        <f t="shared" si="0"/>
        <v>BAVM 178 </v>
      </c>
      <c r="B33" s="4" t="str">
        <f t="shared" si="1"/>
        <v>I</v>
      </c>
      <c r="C33" s="9">
        <f t="shared" si="2"/>
        <v>53639.475400000003</v>
      </c>
      <c r="D33" s="12" t="str">
        <f t="shared" si="3"/>
        <v>vis</v>
      </c>
      <c r="E33" s="50">
        <f>VLOOKUP(C33,Active!C$21:E$973,3,FALSE)</f>
        <v>12047.213553599075</v>
      </c>
      <c r="F33" s="4" t="s">
        <v>65</v>
      </c>
      <c r="G33" s="12" t="str">
        <f t="shared" si="4"/>
        <v>53639.4754</v>
      </c>
      <c r="H33" s="9">
        <f t="shared" si="5"/>
        <v>12047</v>
      </c>
      <c r="I33" s="51" t="s">
        <v>238</v>
      </c>
      <c r="J33" s="52" t="s">
        <v>239</v>
      </c>
      <c r="K33" s="51">
        <v>12047</v>
      </c>
      <c r="L33" s="51" t="s">
        <v>240</v>
      </c>
      <c r="M33" s="52" t="s">
        <v>201</v>
      </c>
      <c r="N33" s="52" t="s">
        <v>241</v>
      </c>
      <c r="O33" s="53" t="s">
        <v>186</v>
      </c>
      <c r="P33" s="54" t="s">
        <v>203</v>
      </c>
    </row>
    <row r="34" spans="1:16" ht="12.75" customHeight="1" thickBot="1" x14ac:dyDescent="0.25">
      <c r="A34" s="9" t="str">
        <f t="shared" si="0"/>
        <v>BAVM 178 </v>
      </c>
      <c r="B34" s="4" t="str">
        <f t="shared" si="1"/>
        <v>I</v>
      </c>
      <c r="C34" s="9">
        <f t="shared" si="2"/>
        <v>53662.304100000001</v>
      </c>
      <c r="D34" s="12" t="str">
        <f t="shared" si="3"/>
        <v>vis</v>
      </c>
      <c r="E34" s="50">
        <f>VLOOKUP(C34,Active!C$21:E$973,3,FALSE)</f>
        <v>12058.212723434868</v>
      </c>
      <c r="F34" s="4" t="s">
        <v>65</v>
      </c>
      <c r="G34" s="12" t="str">
        <f t="shared" si="4"/>
        <v>53662.3041</v>
      </c>
      <c r="H34" s="9">
        <f t="shared" si="5"/>
        <v>12058</v>
      </c>
      <c r="I34" s="51" t="s">
        <v>242</v>
      </c>
      <c r="J34" s="52" t="s">
        <v>243</v>
      </c>
      <c r="K34" s="51" t="s">
        <v>244</v>
      </c>
      <c r="L34" s="51" t="s">
        <v>245</v>
      </c>
      <c r="M34" s="52" t="s">
        <v>201</v>
      </c>
      <c r="N34" s="52" t="s">
        <v>185</v>
      </c>
      <c r="O34" s="53" t="s">
        <v>246</v>
      </c>
      <c r="P34" s="54" t="s">
        <v>203</v>
      </c>
    </row>
    <row r="35" spans="1:16" ht="12.75" customHeight="1" thickBot="1" x14ac:dyDescent="0.25">
      <c r="A35" s="9" t="str">
        <f t="shared" si="0"/>
        <v>BAVM 183 </v>
      </c>
      <c r="B35" s="4" t="str">
        <f t="shared" si="1"/>
        <v>I</v>
      </c>
      <c r="C35" s="9">
        <f t="shared" si="2"/>
        <v>53942.506099999999</v>
      </c>
      <c r="D35" s="12" t="str">
        <f t="shared" si="3"/>
        <v>vis</v>
      </c>
      <c r="E35" s="50">
        <f>VLOOKUP(C35,Active!C$21:E$973,3,FALSE)</f>
        <v>12193.217755974123</v>
      </c>
      <c r="F35" s="4" t="s">
        <v>65</v>
      </c>
      <c r="G35" s="12" t="str">
        <f t="shared" si="4"/>
        <v>53942.5061</v>
      </c>
      <c r="H35" s="9">
        <f t="shared" si="5"/>
        <v>12193</v>
      </c>
      <c r="I35" s="51" t="s">
        <v>247</v>
      </c>
      <c r="J35" s="52" t="s">
        <v>248</v>
      </c>
      <c r="K35" s="51" t="s">
        <v>249</v>
      </c>
      <c r="L35" s="51" t="s">
        <v>250</v>
      </c>
      <c r="M35" s="52" t="s">
        <v>201</v>
      </c>
      <c r="N35" s="52" t="s">
        <v>241</v>
      </c>
      <c r="O35" s="53" t="s">
        <v>186</v>
      </c>
      <c r="P35" s="54" t="s">
        <v>251</v>
      </c>
    </row>
    <row r="36" spans="1:16" ht="12.75" customHeight="1" thickBot="1" x14ac:dyDescent="0.25">
      <c r="A36" s="9" t="str">
        <f t="shared" si="0"/>
        <v>BAVM 201 </v>
      </c>
      <c r="B36" s="4" t="str">
        <f t="shared" si="1"/>
        <v>I</v>
      </c>
      <c r="C36" s="9">
        <f t="shared" si="2"/>
        <v>54405.355300000003</v>
      </c>
      <c r="D36" s="12" t="str">
        <f t="shared" si="3"/>
        <v>vis</v>
      </c>
      <c r="E36" s="50">
        <f>VLOOKUP(C36,Active!C$21:E$973,3,FALSE)</f>
        <v>12416.224627112693</v>
      </c>
      <c r="F36" s="4" t="s">
        <v>65</v>
      </c>
      <c r="G36" s="12" t="str">
        <f t="shared" si="4"/>
        <v>54405.3553</v>
      </c>
      <c r="H36" s="9">
        <f t="shared" si="5"/>
        <v>12416</v>
      </c>
      <c r="I36" s="51" t="s">
        <v>252</v>
      </c>
      <c r="J36" s="52" t="s">
        <v>253</v>
      </c>
      <c r="K36" s="51" t="s">
        <v>254</v>
      </c>
      <c r="L36" s="51" t="s">
        <v>255</v>
      </c>
      <c r="M36" s="52" t="s">
        <v>201</v>
      </c>
      <c r="N36" s="52" t="s">
        <v>185</v>
      </c>
      <c r="O36" s="53" t="s">
        <v>256</v>
      </c>
      <c r="P36" s="54" t="s">
        <v>257</v>
      </c>
    </row>
    <row r="37" spans="1:16" ht="12.75" customHeight="1" thickBot="1" x14ac:dyDescent="0.25">
      <c r="A37" s="9" t="str">
        <f t="shared" si="0"/>
        <v>BAVM 215 </v>
      </c>
      <c r="B37" s="4" t="str">
        <f t="shared" si="1"/>
        <v>I</v>
      </c>
      <c r="C37" s="9">
        <f t="shared" si="2"/>
        <v>55397.478900000002</v>
      </c>
      <c r="D37" s="12" t="str">
        <f t="shared" si="3"/>
        <v>vis</v>
      </c>
      <c r="E37" s="50">
        <f>VLOOKUP(C37,Active!C$21:E$973,3,FALSE)</f>
        <v>12894.242909997771</v>
      </c>
      <c r="F37" s="4" t="s">
        <v>65</v>
      </c>
      <c r="G37" s="12" t="str">
        <f t="shared" si="4"/>
        <v>55397.4789</v>
      </c>
      <c r="H37" s="9">
        <f t="shared" si="5"/>
        <v>12894</v>
      </c>
      <c r="I37" s="51" t="s">
        <v>263</v>
      </c>
      <c r="J37" s="52" t="s">
        <v>264</v>
      </c>
      <c r="K37" s="51" t="s">
        <v>265</v>
      </c>
      <c r="L37" s="51" t="s">
        <v>266</v>
      </c>
      <c r="M37" s="52" t="s">
        <v>201</v>
      </c>
      <c r="N37" s="52" t="s">
        <v>241</v>
      </c>
      <c r="O37" s="53" t="s">
        <v>186</v>
      </c>
      <c r="P37" s="54" t="s">
        <v>267</v>
      </c>
    </row>
    <row r="38" spans="1:16" ht="12.75" customHeight="1" thickBot="1" x14ac:dyDescent="0.25">
      <c r="A38" s="9" t="str">
        <f t="shared" si="0"/>
        <v>BAVM 231 </v>
      </c>
      <c r="B38" s="4" t="str">
        <f t="shared" si="1"/>
        <v>I</v>
      </c>
      <c r="C38" s="9">
        <f t="shared" si="2"/>
        <v>56167.514600000002</v>
      </c>
      <c r="D38" s="12" t="str">
        <f t="shared" si="3"/>
        <v>vis</v>
      </c>
      <c r="E38" s="50">
        <f>VLOOKUP(C38,Active!C$21:E$973,3,FALSE)</f>
        <v>13265.256302960312</v>
      </c>
      <c r="F38" s="4" t="s">
        <v>65</v>
      </c>
      <c r="G38" s="12" t="str">
        <f t="shared" si="4"/>
        <v>56167.5146</v>
      </c>
      <c r="H38" s="9">
        <f t="shared" si="5"/>
        <v>13265</v>
      </c>
      <c r="I38" s="51" t="s">
        <v>275</v>
      </c>
      <c r="J38" s="52" t="s">
        <v>276</v>
      </c>
      <c r="K38" s="51" t="s">
        <v>277</v>
      </c>
      <c r="L38" s="51" t="s">
        <v>278</v>
      </c>
      <c r="M38" s="52" t="s">
        <v>201</v>
      </c>
      <c r="N38" s="52" t="s">
        <v>279</v>
      </c>
      <c r="O38" s="53" t="s">
        <v>280</v>
      </c>
      <c r="P38" s="54" t="s">
        <v>281</v>
      </c>
    </row>
    <row r="39" spans="1:16" ht="12.75" customHeight="1" thickBot="1" x14ac:dyDescent="0.25">
      <c r="A39" s="9" t="str">
        <f t="shared" si="0"/>
        <v> AAAN 11.5.29 </v>
      </c>
      <c r="B39" s="4" t="str">
        <f t="shared" si="1"/>
        <v>I</v>
      </c>
      <c r="C39" s="9">
        <f t="shared" si="2"/>
        <v>26595.367999999999</v>
      </c>
      <c r="D39" s="12" t="str">
        <f t="shared" si="3"/>
        <v>vis</v>
      </c>
      <c r="E39" s="50">
        <f>VLOOKUP(C39,Active!C$21:E$973,3,FALSE)</f>
        <v>-982.99536543847694</v>
      </c>
      <c r="F39" s="4" t="s">
        <v>65</v>
      </c>
      <c r="G39" s="12" t="str">
        <f t="shared" si="4"/>
        <v>26595.368</v>
      </c>
      <c r="H39" s="9">
        <f t="shared" si="5"/>
        <v>-983</v>
      </c>
      <c r="I39" s="51" t="s">
        <v>69</v>
      </c>
      <c r="J39" s="52" t="s">
        <v>70</v>
      </c>
      <c r="K39" s="51">
        <v>-983</v>
      </c>
      <c r="L39" s="51" t="s">
        <v>71</v>
      </c>
      <c r="M39" s="52" t="s">
        <v>72</v>
      </c>
      <c r="N39" s="52"/>
      <c r="O39" s="53" t="s">
        <v>73</v>
      </c>
      <c r="P39" s="53" t="s">
        <v>74</v>
      </c>
    </row>
    <row r="40" spans="1:16" ht="12.75" customHeight="1" thickBot="1" x14ac:dyDescent="0.25">
      <c r="A40" s="9" t="str">
        <f t="shared" si="0"/>
        <v> AAAN 11.5.29 </v>
      </c>
      <c r="B40" s="4" t="str">
        <f t="shared" si="1"/>
        <v>I</v>
      </c>
      <c r="C40" s="9">
        <f t="shared" si="2"/>
        <v>27695.362000000001</v>
      </c>
      <c r="D40" s="12" t="str">
        <f t="shared" si="3"/>
        <v>vis</v>
      </c>
      <c r="E40" s="50">
        <f>VLOOKUP(C40,Active!C$21:E$973,3,FALSE)</f>
        <v>-453.00369598933764</v>
      </c>
      <c r="F40" s="4" t="s">
        <v>65</v>
      </c>
      <c r="G40" s="12" t="str">
        <f t="shared" si="4"/>
        <v>27695.362</v>
      </c>
      <c r="H40" s="9">
        <f t="shared" si="5"/>
        <v>-453</v>
      </c>
      <c r="I40" s="51" t="s">
        <v>75</v>
      </c>
      <c r="J40" s="52" t="s">
        <v>76</v>
      </c>
      <c r="K40" s="51">
        <v>-453</v>
      </c>
      <c r="L40" s="51" t="s">
        <v>77</v>
      </c>
      <c r="M40" s="52" t="s">
        <v>72</v>
      </c>
      <c r="N40" s="52"/>
      <c r="O40" s="53" t="s">
        <v>73</v>
      </c>
      <c r="P40" s="53" t="s">
        <v>74</v>
      </c>
    </row>
    <row r="41" spans="1:16" ht="12.75" customHeight="1" thickBot="1" x14ac:dyDescent="0.25">
      <c r="A41" s="9" t="str">
        <f t="shared" si="0"/>
        <v> AAAN 11.5.29 </v>
      </c>
      <c r="B41" s="4" t="str">
        <f t="shared" si="1"/>
        <v>I</v>
      </c>
      <c r="C41" s="9">
        <f t="shared" si="2"/>
        <v>28081.466</v>
      </c>
      <c r="D41" s="12" t="str">
        <f t="shared" si="3"/>
        <v>vis</v>
      </c>
      <c r="E41" s="50">
        <f>VLOOKUP(C41,Active!C$21:E$973,3,FALSE)</f>
        <v>-266.9736780610674</v>
      </c>
      <c r="F41" s="4" t="s">
        <v>65</v>
      </c>
      <c r="G41" s="12" t="str">
        <f t="shared" si="4"/>
        <v>28081.466</v>
      </c>
      <c r="H41" s="9">
        <f t="shared" si="5"/>
        <v>-267</v>
      </c>
      <c r="I41" s="51" t="s">
        <v>78</v>
      </c>
      <c r="J41" s="52" t="s">
        <v>79</v>
      </c>
      <c r="K41" s="51">
        <v>-267</v>
      </c>
      <c r="L41" s="51" t="s">
        <v>80</v>
      </c>
      <c r="M41" s="52" t="s">
        <v>72</v>
      </c>
      <c r="N41" s="52"/>
      <c r="O41" s="53" t="s">
        <v>73</v>
      </c>
      <c r="P41" s="53" t="s">
        <v>74</v>
      </c>
    </row>
    <row r="42" spans="1:16" ht="12.75" customHeight="1" thickBot="1" x14ac:dyDescent="0.25">
      <c r="A42" s="9" t="str">
        <f t="shared" si="0"/>
        <v> AAAN 11.5.29 </v>
      </c>
      <c r="B42" s="4" t="str">
        <f t="shared" si="1"/>
        <v>I</v>
      </c>
      <c r="C42" s="9">
        <f t="shared" si="2"/>
        <v>28332.467000000001</v>
      </c>
      <c r="D42" s="12" t="str">
        <f t="shared" si="3"/>
        <v>vis</v>
      </c>
      <c r="E42" s="50">
        <f>VLOOKUP(C42,Active!C$21:E$973,3,FALSE)</f>
        <v>-146.03807384558695</v>
      </c>
      <c r="F42" s="4" t="s">
        <v>65</v>
      </c>
      <c r="G42" s="12" t="str">
        <f t="shared" si="4"/>
        <v>28332.467</v>
      </c>
      <c r="H42" s="9">
        <f t="shared" si="5"/>
        <v>-146</v>
      </c>
      <c r="I42" s="51" t="s">
        <v>81</v>
      </c>
      <c r="J42" s="52" t="s">
        <v>82</v>
      </c>
      <c r="K42" s="51">
        <v>-146</v>
      </c>
      <c r="L42" s="51" t="s">
        <v>83</v>
      </c>
      <c r="M42" s="52" t="s">
        <v>72</v>
      </c>
      <c r="N42" s="52"/>
      <c r="O42" s="53" t="s">
        <v>73</v>
      </c>
      <c r="P42" s="53" t="s">
        <v>74</v>
      </c>
    </row>
    <row r="43" spans="1:16" ht="12.75" customHeight="1" thickBot="1" x14ac:dyDescent="0.25">
      <c r="A43" s="9" t="str">
        <f t="shared" ref="A43:A68" si="6">P43</f>
        <v> AAAN 11.5.29 </v>
      </c>
      <c r="B43" s="4" t="str">
        <f t="shared" ref="B43:B68" si="7">IF(H43=INT(H43),"I","II")</f>
        <v>I</v>
      </c>
      <c r="C43" s="9">
        <f t="shared" ref="C43:C68" si="8">1*G43</f>
        <v>28542.219000000001</v>
      </c>
      <c r="D43" s="12" t="str">
        <f t="shared" ref="D43:D68" si="9">VLOOKUP(F43,I$1:J$5,2,FALSE)</f>
        <v>vis</v>
      </c>
      <c r="E43" s="50">
        <f>VLOOKUP(C43,Active!C$21:E$973,3,FALSE)</f>
        <v>-44.97678382919063</v>
      </c>
      <c r="F43" s="4" t="s">
        <v>65</v>
      </c>
      <c r="G43" s="12" t="str">
        <f t="shared" ref="G43:G68" si="10">MID(I43,3,LEN(I43)-3)</f>
        <v>28542.219</v>
      </c>
      <c r="H43" s="9">
        <f t="shared" ref="H43:H68" si="11">1*K43</f>
        <v>-45</v>
      </c>
      <c r="I43" s="51" t="s">
        <v>84</v>
      </c>
      <c r="J43" s="52" t="s">
        <v>85</v>
      </c>
      <c r="K43" s="51">
        <v>-45</v>
      </c>
      <c r="L43" s="51" t="s">
        <v>86</v>
      </c>
      <c r="M43" s="52" t="s">
        <v>72</v>
      </c>
      <c r="N43" s="52"/>
      <c r="O43" s="53" t="s">
        <v>73</v>
      </c>
      <c r="P43" s="53" t="s">
        <v>74</v>
      </c>
    </row>
    <row r="44" spans="1:16" ht="12.75" customHeight="1" thickBot="1" x14ac:dyDescent="0.25">
      <c r="A44" s="9" t="str">
        <f t="shared" si="6"/>
        <v> AAAN 11.5.29 </v>
      </c>
      <c r="B44" s="4" t="str">
        <f t="shared" si="7"/>
        <v>I</v>
      </c>
      <c r="C44" s="9">
        <f t="shared" si="8"/>
        <v>28635.612000000001</v>
      </c>
      <c r="D44" s="12" t="str">
        <f t="shared" si="9"/>
        <v>vis</v>
      </c>
      <c r="E44" s="50">
        <f>VLOOKUP(C44,Active!C$21:E$973,3,FALSE)</f>
        <v>2.1199782413955637E-2</v>
      </c>
      <c r="F44" s="4" t="s">
        <v>65</v>
      </c>
      <c r="G44" s="12" t="str">
        <f t="shared" si="10"/>
        <v>28635.612</v>
      </c>
      <c r="H44" s="9">
        <f t="shared" si="11"/>
        <v>0</v>
      </c>
      <c r="I44" s="51" t="s">
        <v>87</v>
      </c>
      <c r="J44" s="52" t="s">
        <v>88</v>
      </c>
      <c r="K44" s="51">
        <v>0</v>
      </c>
      <c r="L44" s="51" t="s">
        <v>89</v>
      </c>
      <c r="M44" s="52" t="s">
        <v>72</v>
      </c>
      <c r="N44" s="52"/>
      <c r="O44" s="53" t="s">
        <v>73</v>
      </c>
      <c r="P44" s="53" t="s">
        <v>74</v>
      </c>
    </row>
    <row r="45" spans="1:16" ht="12.75" customHeight="1" thickBot="1" x14ac:dyDescent="0.25">
      <c r="A45" s="9" t="str">
        <f t="shared" si="6"/>
        <v> AAAN 11.5.29 </v>
      </c>
      <c r="B45" s="4" t="str">
        <f t="shared" si="7"/>
        <v>I</v>
      </c>
      <c r="C45" s="9">
        <f t="shared" si="8"/>
        <v>28847.327000000001</v>
      </c>
      <c r="D45" s="12" t="str">
        <f t="shared" si="9"/>
        <v>vis</v>
      </c>
      <c r="E45" s="50">
        <f>VLOOKUP(C45,Active!C$21:E$973,3,FALSE)</f>
        <v>102.02828918237829</v>
      </c>
      <c r="F45" s="4" t="s">
        <v>65</v>
      </c>
      <c r="G45" s="12" t="str">
        <f t="shared" si="10"/>
        <v>28847.327</v>
      </c>
      <c r="H45" s="9">
        <f t="shared" si="11"/>
        <v>102</v>
      </c>
      <c r="I45" s="51" t="s">
        <v>90</v>
      </c>
      <c r="J45" s="52" t="s">
        <v>91</v>
      </c>
      <c r="K45" s="51">
        <v>102</v>
      </c>
      <c r="L45" s="51" t="s">
        <v>92</v>
      </c>
      <c r="M45" s="52" t="s">
        <v>72</v>
      </c>
      <c r="N45" s="52"/>
      <c r="O45" s="53" t="s">
        <v>73</v>
      </c>
      <c r="P45" s="53" t="s">
        <v>74</v>
      </c>
    </row>
    <row r="46" spans="1:16" ht="12.75" customHeight="1" thickBot="1" x14ac:dyDescent="0.25">
      <c r="A46" s="9" t="str">
        <f t="shared" si="6"/>
        <v> AAAN 11.5.29 </v>
      </c>
      <c r="B46" s="4" t="str">
        <f t="shared" si="7"/>
        <v>I</v>
      </c>
      <c r="C46" s="9">
        <f t="shared" si="8"/>
        <v>28876.345000000001</v>
      </c>
      <c r="D46" s="12" t="str">
        <f t="shared" si="9"/>
        <v>vis</v>
      </c>
      <c r="E46" s="50">
        <f>VLOOKUP(C46,Active!C$21:E$973,3,FALSE)</f>
        <v>116.00954568384566</v>
      </c>
      <c r="F46" s="4" t="s">
        <v>65</v>
      </c>
      <c r="G46" s="12" t="str">
        <f t="shared" si="10"/>
        <v>28876.345</v>
      </c>
      <c r="H46" s="9">
        <f t="shared" si="11"/>
        <v>116</v>
      </c>
      <c r="I46" s="51" t="s">
        <v>93</v>
      </c>
      <c r="J46" s="52" t="s">
        <v>94</v>
      </c>
      <c r="K46" s="51">
        <v>116</v>
      </c>
      <c r="L46" s="51" t="s">
        <v>95</v>
      </c>
      <c r="M46" s="52" t="s">
        <v>72</v>
      </c>
      <c r="N46" s="52"/>
      <c r="O46" s="53" t="s">
        <v>73</v>
      </c>
      <c r="P46" s="53" t="s">
        <v>74</v>
      </c>
    </row>
    <row r="47" spans="1:16" ht="12.75" customHeight="1" thickBot="1" x14ac:dyDescent="0.25">
      <c r="A47" s="9" t="str">
        <f t="shared" si="6"/>
        <v> AAAN 11.5.29 </v>
      </c>
      <c r="B47" s="4" t="str">
        <f t="shared" si="7"/>
        <v>I</v>
      </c>
      <c r="C47" s="9">
        <f t="shared" si="8"/>
        <v>29017.532999999999</v>
      </c>
      <c r="D47" s="12" t="str">
        <f t="shared" si="9"/>
        <v>vis</v>
      </c>
      <c r="E47" s="50">
        <f>VLOOKUP(C47,Active!C$21:E$973,3,FALSE)</f>
        <v>184.03579294172525</v>
      </c>
      <c r="F47" s="4" t="s">
        <v>65</v>
      </c>
      <c r="G47" s="12" t="str">
        <f t="shared" si="10"/>
        <v>29017.533</v>
      </c>
      <c r="H47" s="9">
        <f t="shared" si="11"/>
        <v>184</v>
      </c>
      <c r="I47" s="51" t="s">
        <v>96</v>
      </c>
      <c r="J47" s="52" t="s">
        <v>97</v>
      </c>
      <c r="K47" s="51">
        <v>184</v>
      </c>
      <c r="L47" s="51" t="s">
        <v>98</v>
      </c>
      <c r="M47" s="52" t="s">
        <v>72</v>
      </c>
      <c r="N47" s="52"/>
      <c r="O47" s="53" t="s">
        <v>73</v>
      </c>
      <c r="P47" s="53" t="s">
        <v>74</v>
      </c>
    </row>
    <row r="48" spans="1:16" ht="12.75" customHeight="1" thickBot="1" x14ac:dyDescent="0.25">
      <c r="A48" s="9" t="str">
        <f t="shared" si="6"/>
        <v> AAAN 11.5.29 </v>
      </c>
      <c r="B48" s="4" t="str">
        <f t="shared" si="7"/>
        <v>I</v>
      </c>
      <c r="C48" s="9">
        <f t="shared" si="8"/>
        <v>29071.468000000001</v>
      </c>
      <c r="D48" s="12" t="str">
        <f t="shared" si="9"/>
        <v>vis</v>
      </c>
      <c r="E48" s="50">
        <f>VLOOKUP(C48,Active!C$21:E$973,3,FALSE)</f>
        <v>210.02238986110842</v>
      </c>
      <c r="F48" s="4" t="s">
        <v>65</v>
      </c>
      <c r="G48" s="12" t="str">
        <f t="shared" si="10"/>
        <v>29071.468</v>
      </c>
      <c r="H48" s="9">
        <f t="shared" si="11"/>
        <v>210</v>
      </c>
      <c r="I48" s="51" t="s">
        <v>99</v>
      </c>
      <c r="J48" s="52" t="s">
        <v>100</v>
      </c>
      <c r="K48" s="51">
        <v>210</v>
      </c>
      <c r="L48" s="51" t="s">
        <v>101</v>
      </c>
      <c r="M48" s="52" t="s">
        <v>72</v>
      </c>
      <c r="N48" s="52"/>
      <c r="O48" s="53" t="s">
        <v>73</v>
      </c>
      <c r="P48" s="53" t="s">
        <v>74</v>
      </c>
    </row>
    <row r="49" spans="1:16" ht="12.75" customHeight="1" thickBot="1" x14ac:dyDescent="0.25">
      <c r="A49" s="9" t="str">
        <f t="shared" si="6"/>
        <v> AAAN 11.5.29 </v>
      </c>
      <c r="B49" s="4" t="str">
        <f t="shared" si="7"/>
        <v>I</v>
      </c>
      <c r="C49" s="9">
        <f t="shared" si="8"/>
        <v>29073.467000000001</v>
      </c>
      <c r="D49" s="12" t="str">
        <f t="shared" si="9"/>
        <v>vis</v>
      </c>
      <c r="E49" s="50">
        <f>VLOOKUP(C49,Active!C$21:E$973,3,FALSE)</f>
        <v>210.98553452119631</v>
      </c>
      <c r="F49" s="4" t="s">
        <v>65</v>
      </c>
      <c r="G49" s="12" t="str">
        <f t="shared" si="10"/>
        <v>29073.467</v>
      </c>
      <c r="H49" s="9">
        <f t="shared" si="11"/>
        <v>211</v>
      </c>
      <c r="I49" s="51" t="s">
        <v>102</v>
      </c>
      <c r="J49" s="52" t="s">
        <v>103</v>
      </c>
      <c r="K49" s="51">
        <v>211</v>
      </c>
      <c r="L49" s="51" t="s">
        <v>104</v>
      </c>
      <c r="M49" s="52" t="s">
        <v>72</v>
      </c>
      <c r="N49" s="52"/>
      <c r="O49" s="53" t="s">
        <v>73</v>
      </c>
      <c r="P49" s="53" t="s">
        <v>74</v>
      </c>
    </row>
    <row r="50" spans="1:16" ht="12.75" customHeight="1" thickBot="1" x14ac:dyDescent="0.25">
      <c r="A50" s="9" t="str">
        <f t="shared" si="6"/>
        <v> AAAN 11.5.29 </v>
      </c>
      <c r="B50" s="4" t="str">
        <f t="shared" si="7"/>
        <v>I</v>
      </c>
      <c r="C50" s="9">
        <f t="shared" si="8"/>
        <v>29075.5</v>
      </c>
      <c r="D50" s="12" t="str">
        <f t="shared" si="9"/>
        <v>vis</v>
      </c>
      <c r="E50" s="50">
        <f>VLOOKUP(C50,Active!C$21:E$973,3,FALSE)</f>
        <v>211.96506083133056</v>
      </c>
      <c r="F50" s="4" t="s">
        <v>65</v>
      </c>
      <c r="G50" s="12" t="str">
        <f t="shared" si="10"/>
        <v>29075.500</v>
      </c>
      <c r="H50" s="9">
        <f t="shared" si="11"/>
        <v>212</v>
      </c>
      <c r="I50" s="51" t="s">
        <v>105</v>
      </c>
      <c r="J50" s="52" t="s">
        <v>106</v>
      </c>
      <c r="K50" s="51">
        <v>212</v>
      </c>
      <c r="L50" s="51" t="s">
        <v>107</v>
      </c>
      <c r="M50" s="52" t="s">
        <v>72</v>
      </c>
      <c r="N50" s="52"/>
      <c r="O50" s="53" t="s">
        <v>73</v>
      </c>
      <c r="P50" s="53" t="s">
        <v>74</v>
      </c>
    </row>
    <row r="51" spans="1:16" ht="12.75" customHeight="1" thickBot="1" x14ac:dyDescent="0.25">
      <c r="A51" s="9" t="str">
        <f t="shared" si="6"/>
        <v> AAAN 11.5.29 </v>
      </c>
      <c r="B51" s="4" t="str">
        <f t="shared" si="7"/>
        <v>I</v>
      </c>
      <c r="C51" s="9">
        <f t="shared" si="8"/>
        <v>29785.469000000001</v>
      </c>
      <c r="D51" s="12" t="str">
        <f t="shared" si="9"/>
        <v>vis</v>
      </c>
      <c r="E51" s="50">
        <f>VLOOKUP(C51,Active!C$21:E$973,3,FALSE)</f>
        <v>554.03752265124569</v>
      </c>
      <c r="F51" s="4" t="s">
        <v>65</v>
      </c>
      <c r="G51" s="12" t="str">
        <f t="shared" si="10"/>
        <v>29785.469</v>
      </c>
      <c r="H51" s="9">
        <f t="shared" si="11"/>
        <v>554</v>
      </c>
      <c r="I51" s="51" t="s">
        <v>108</v>
      </c>
      <c r="J51" s="52" t="s">
        <v>109</v>
      </c>
      <c r="K51" s="51">
        <v>554</v>
      </c>
      <c r="L51" s="51" t="s">
        <v>110</v>
      </c>
      <c r="M51" s="52" t="s">
        <v>72</v>
      </c>
      <c r="N51" s="52"/>
      <c r="O51" s="53" t="s">
        <v>73</v>
      </c>
      <c r="P51" s="53" t="s">
        <v>74</v>
      </c>
    </row>
    <row r="52" spans="1:16" ht="12.75" customHeight="1" thickBot="1" x14ac:dyDescent="0.25">
      <c r="A52" s="9" t="str">
        <f t="shared" si="6"/>
        <v> AAAN 11.5.29 </v>
      </c>
      <c r="B52" s="4" t="str">
        <f t="shared" si="7"/>
        <v>I</v>
      </c>
      <c r="C52" s="9">
        <f t="shared" si="8"/>
        <v>30200.508000000002</v>
      </c>
      <c r="D52" s="12" t="str">
        <f t="shared" si="9"/>
        <v>vis</v>
      </c>
      <c r="E52" s="50">
        <f>VLOOKUP(C52,Active!C$21:E$973,3,FALSE)</f>
        <v>754.00880658234087</v>
      </c>
      <c r="F52" s="4" t="s">
        <v>65</v>
      </c>
      <c r="G52" s="12" t="str">
        <f t="shared" si="10"/>
        <v>30200.508</v>
      </c>
      <c r="H52" s="9">
        <f t="shared" si="11"/>
        <v>754</v>
      </c>
      <c r="I52" s="51" t="s">
        <v>111</v>
      </c>
      <c r="J52" s="52" t="s">
        <v>112</v>
      </c>
      <c r="K52" s="51">
        <v>754</v>
      </c>
      <c r="L52" s="51" t="s">
        <v>113</v>
      </c>
      <c r="M52" s="52" t="s">
        <v>72</v>
      </c>
      <c r="N52" s="52"/>
      <c r="O52" s="53" t="s">
        <v>73</v>
      </c>
      <c r="P52" s="53" t="s">
        <v>74</v>
      </c>
    </row>
    <row r="53" spans="1:16" ht="12.75" customHeight="1" thickBot="1" x14ac:dyDescent="0.25">
      <c r="A53" s="9" t="str">
        <f t="shared" si="6"/>
        <v> AJ 64.263 </v>
      </c>
      <c r="B53" s="4" t="str">
        <f t="shared" si="7"/>
        <v>I</v>
      </c>
      <c r="C53" s="9">
        <f t="shared" si="8"/>
        <v>32296.727999999999</v>
      </c>
      <c r="D53" s="12" t="str">
        <f t="shared" si="9"/>
        <v>vis</v>
      </c>
      <c r="E53" s="50">
        <f>VLOOKUP(C53,Active!C$21:E$973,3,FALSE)</f>
        <v>1763.9953495386399</v>
      </c>
      <c r="F53" s="4" t="s">
        <v>65</v>
      </c>
      <c r="G53" s="12" t="str">
        <f t="shared" si="10"/>
        <v>32296.728</v>
      </c>
      <c r="H53" s="9">
        <f t="shared" si="11"/>
        <v>1764</v>
      </c>
      <c r="I53" s="51" t="s">
        <v>114</v>
      </c>
      <c r="J53" s="52" t="s">
        <v>115</v>
      </c>
      <c r="K53" s="51">
        <v>1764</v>
      </c>
      <c r="L53" s="51" t="s">
        <v>116</v>
      </c>
      <c r="M53" s="52" t="s">
        <v>67</v>
      </c>
      <c r="N53" s="52"/>
      <c r="O53" s="53" t="s">
        <v>117</v>
      </c>
      <c r="P53" s="53" t="s">
        <v>118</v>
      </c>
    </row>
    <row r="54" spans="1:16" ht="12.75" customHeight="1" thickBot="1" x14ac:dyDescent="0.25">
      <c r="A54" s="9" t="str">
        <f t="shared" si="6"/>
        <v> AJ 64.263 </v>
      </c>
      <c r="B54" s="4" t="str">
        <f t="shared" si="7"/>
        <v>I</v>
      </c>
      <c r="C54" s="9">
        <f t="shared" si="8"/>
        <v>32790.724000000002</v>
      </c>
      <c r="D54" s="12" t="str">
        <f t="shared" si="9"/>
        <v>vis</v>
      </c>
      <c r="E54" s="50">
        <f>VLOOKUP(C54,Active!C$21:E$973,3,FALSE)</f>
        <v>2002.0091611968833</v>
      </c>
      <c r="F54" s="4" t="s">
        <v>65</v>
      </c>
      <c r="G54" s="12" t="str">
        <f t="shared" si="10"/>
        <v>32790.724</v>
      </c>
      <c r="H54" s="9">
        <f t="shared" si="11"/>
        <v>2002</v>
      </c>
      <c r="I54" s="51" t="s">
        <v>119</v>
      </c>
      <c r="J54" s="52" t="s">
        <v>120</v>
      </c>
      <c r="K54" s="51">
        <v>2002</v>
      </c>
      <c r="L54" s="51" t="s">
        <v>121</v>
      </c>
      <c r="M54" s="52" t="s">
        <v>67</v>
      </c>
      <c r="N54" s="52"/>
      <c r="O54" s="53" t="s">
        <v>117</v>
      </c>
      <c r="P54" s="53" t="s">
        <v>118</v>
      </c>
    </row>
    <row r="55" spans="1:16" ht="12.75" customHeight="1" thickBot="1" x14ac:dyDescent="0.25">
      <c r="A55" s="9" t="str">
        <f t="shared" si="6"/>
        <v> AAC 5.193 </v>
      </c>
      <c r="B55" s="4" t="str">
        <f t="shared" si="7"/>
        <v>I</v>
      </c>
      <c r="C55" s="9">
        <f t="shared" si="8"/>
        <v>34488.464999999997</v>
      </c>
      <c r="D55" s="12" t="str">
        <f t="shared" si="9"/>
        <v>vis</v>
      </c>
      <c r="E55" s="50">
        <f>VLOOKUP(C55,Active!C$21:E$973,3,FALSE)</f>
        <v>2820.0032474212139</v>
      </c>
      <c r="F55" s="4" t="s">
        <v>65</v>
      </c>
      <c r="G55" s="12" t="str">
        <f t="shared" si="10"/>
        <v>34488.465</v>
      </c>
      <c r="H55" s="9">
        <f t="shared" si="11"/>
        <v>2820</v>
      </c>
      <c r="I55" s="51" t="s">
        <v>134</v>
      </c>
      <c r="J55" s="52" t="s">
        <v>135</v>
      </c>
      <c r="K55" s="51">
        <v>2820</v>
      </c>
      <c r="L55" s="51" t="s">
        <v>136</v>
      </c>
      <c r="M55" s="52" t="s">
        <v>137</v>
      </c>
      <c r="N55" s="52"/>
      <c r="O55" s="53" t="s">
        <v>138</v>
      </c>
      <c r="P55" s="53" t="s">
        <v>139</v>
      </c>
    </row>
    <row r="56" spans="1:16" ht="12.75" customHeight="1" thickBot="1" x14ac:dyDescent="0.25">
      <c r="A56" s="9" t="str">
        <f t="shared" si="6"/>
        <v> AAC 5.193 </v>
      </c>
      <c r="B56" s="4" t="str">
        <f t="shared" si="7"/>
        <v>I</v>
      </c>
      <c r="C56" s="9">
        <f t="shared" si="8"/>
        <v>34652.421999999999</v>
      </c>
      <c r="D56" s="12" t="str">
        <f t="shared" si="9"/>
        <v>vis</v>
      </c>
      <c r="E56" s="50">
        <f>VLOOKUP(C56,Active!C$21:E$973,3,FALSE)</f>
        <v>2898.99990026466</v>
      </c>
      <c r="F56" s="4" t="s">
        <v>65</v>
      </c>
      <c r="G56" s="12" t="str">
        <f t="shared" si="10"/>
        <v>34652.422</v>
      </c>
      <c r="H56" s="9">
        <f t="shared" si="11"/>
        <v>2899</v>
      </c>
      <c r="I56" s="51" t="s">
        <v>142</v>
      </c>
      <c r="J56" s="52" t="s">
        <v>143</v>
      </c>
      <c r="K56" s="51">
        <v>2899</v>
      </c>
      <c r="L56" s="51" t="s">
        <v>144</v>
      </c>
      <c r="M56" s="52" t="s">
        <v>137</v>
      </c>
      <c r="N56" s="52"/>
      <c r="O56" s="53" t="s">
        <v>138</v>
      </c>
      <c r="P56" s="53" t="s">
        <v>139</v>
      </c>
    </row>
    <row r="57" spans="1:16" ht="12.75" customHeight="1" thickBot="1" x14ac:dyDescent="0.25">
      <c r="A57" s="9" t="str">
        <f t="shared" si="6"/>
        <v> AAC 5.193 </v>
      </c>
      <c r="B57" s="4" t="str">
        <f t="shared" si="7"/>
        <v>I</v>
      </c>
      <c r="C57" s="9">
        <f t="shared" si="8"/>
        <v>34654.478000000003</v>
      </c>
      <c r="D57" s="12" t="str">
        <f t="shared" si="9"/>
        <v>vis</v>
      </c>
      <c r="E57" s="50">
        <f>VLOOKUP(C57,Active!C$21:E$973,3,FALSE)</f>
        <v>2899.9905082792397</v>
      </c>
      <c r="F57" s="4" t="s">
        <v>65</v>
      </c>
      <c r="G57" s="12" t="str">
        <f t="shared" si="10"/>
        <v>34654.478</v>
      </c>
      <c r="H57" s="9">
        <f t="shared" si="11"/>
        <v>2900</v>
      </c>
      <c r="I57" s="51" t="s">
        <v>145</v>
      </c>
      <c r="J57" s="52" t="s">
        <v>146</v>
      </c>
      <c r="K57" s="51">
        <v>2900</v>
      </c>
      <c r="L57" s="51" t="s">
        <v>147</v>
      </c>
      <c r="M57" s="52" t="s">
        <v>137</v>
      </c>
      <c r="N57" s="52"/>
      <c r="O57" s="53" t="s">
        <v>138</v>
      </c>
      <c r="P57" s="53" t="s">
        <v>139</v>
      </c>
    </row>
    <row r="58" spans="1:16" ht="12.75" customHeight="1" thickBot="1" x14ac:dyDescent="0.25">
      <c r="A58" s="9" t="str">
        <f t="shared" si="6"/>
        <v> AAC 5.193 </v>
      </c>
      <c r="B58" s="4" t="str">
        <f t="shared" si="7"/>
        <v>I</v>
      </c>
      <c r="C58" s="9">
        <f t="shared" si="8"/>
        <v>35032.226999999999</v>
      </c>
      <c r="D58" s="12" t="str">
        <f t="shared" si="9"/>
        <v>vis</v>
      </c>
      <c r="E58" s="50">
        <f>VLOOKUP(C58,Active!C$21:E$973,3,FALSE)</f>
        <v>3081.9949766151944</v>
      </c>
      <c r="F58" s="4" t="s">
        <v>65</v>
      </c>
      <c r="G58" s="12" t="str">
        <f t="shared" si="10"/>
        <v>35032.227</v>
      </c>
      <c r="H58" s="9">
        <f t="shared" si="11"/>
        <v>3082</v>
      </c>
      <c r="I58" s="51" t="s">
        <v>148</v>
      </c>
      <c r="J58" s="52" t="s">
        <v>149</v>
      </c>
      <c r="K58" s="51">
        <v>3082</v>
      </c>
      <c r="L58" s="51" t="s">
        <v>116</v>
      </c>
      <c r="M58" s="52" t="s">
        <v>137</v>
      </c>
      <c r="N58" s="52"/>
      <c r="O58" s="53" t="s">
        <v>138</v>
      </c>
      <c r="P58" s="53" t="s">
        <v>139</v>
      </c>
    </row>
    <row r="59" spans="1:16" ht="12.75" customHeight="1" thickBot="1" x14ac:dyDescent="0.25">
      <c r="A59" s="9" t="str">
        <f t="shared" si="6"/>
        <v> AA 6.142 </v>
      </c>
      <c r="B59" s="4" t="str">
        <f t="shared" si="7"/>
        <v>I</v>
      </c>
      <c r="C59" s="9">
        <f t="shared" si="8"/>
        <v>35258.449000000001</v>
      </c>
      <c r="D59" s="12" t="str">
        <f t="shared" si="9"/>
        <v>vis</v>
      </c>
      <c r="E59" s="50">
        <f>VLOOKUP(C59,Active!C$21:E$973,3,FALSE)</f>
        <v>3190.99173063942</v>
      </c>
      <c r="F59" s="4" t="s">
        <v>65</v>
      </c>
      <c r="G59" s="12" t="str">
        <f t="shared" si="10"/>
        <v>35258.449</v>
      </c>
      <c r="H59" s="9">
        <f t="shared" si="11"/>
        <v>3191</v>
      </c>
      <c r="I59" s="51" t="s">
        <v>150</v>
      </c>
      <c r="J59" s="52" t="s">
        <v>151</v>
      </c>
      <c r="K59" s="51">
        <v>3191</v>
      </c>
      <c r="L59" s="51" t="s">
        <v>152</v>
      </c>
      <c r="M59" s="52" t="s">
        <v>137</v>
      </c>
      <c r="N59" s="52"/>
      <c r="O59" s="53" t="s">
        <v>138</v>
      </c>
      <c r="P59" s="53" t="s">
        <v>153</v>
      </c>
    </row>
    <row r="60" spans="1:16" ht="12.75" customHeight="1" thickBot="1" x14ac:dyDescent="0.25">
      <c r="A60" s="9" t="str">
        <f t="shared" si="6"/>
        <v> AA 6.142 </v>
      </c>
      <c r="B60" s="4" t="str">
        <f t="shared" si="7"/>
        <v>I</v>
      </c>
      <c r="C60" s="9">
        <f t="shared" si="8"/>
        <v>35339.428999999996</v>
      </c>
      <c r="D60" s="12" t="str">
        <f t="shared" si="9"/>
        <v>vis</v>
      </c>
      <c r="E60" s="50">
        <f>VLOOKUP(C60,Active!C$21:E$973,3,FALSE)</f>
        <v>3230.0089665443334</v>
      </c>
      <c r="F60" s="4" t="s">
        <v>65</v>
      </c>
      <c r="G60" s="12" t="str">
        <f t="shared" si="10"/>
        <v>35339.429</v>
      </c>
      <c r="H60" s="9">
        <f t="shared" si="11"/>
        <v>3230</v>
      </c>
      <c r="I60" s="51" t="s">
        <v>154</v>
      </c>
      <c r="J60" s="52" t="s">
        <v>155</v>
      </c>
      <c r="K60" s="51">
        <v>3230</v>
      </c>
      <c r="L60" s="51" t="s">
        <v>121</v>
      </c>
      <c r="M60" s="52" t="s">
        <v>137</v>
      </c>
      <c r="N60" s="52"/>
      <c r="O60" s="53" t="s">
        <v>138</v>
      </c>
      <c r="P60" s="53" t="s">
        <v>153</v>
      </c>
    </row>
    <row r="61" spans="1:16" ht="12.75" customHeight="1" thickBot="1" x14ac:dyDescent="0.25">
      <c r="A61" s="9" t="str">
        <f t="shared" si="6"/>
        <v> AA 6.142 </v>
      </c>
      <c r="B61" s="4" t="str">
        <f t="shared" si="7"/>
        <v>I</v>
      </c>
      <c r="C61" s="9">
        <f t="shared" si="8"/>
        <v>35366.406999999999</v>
      </c>
      <c r="D61" s="12" t="str">
        <f t="shared" si="9"/>
        <v>vis</v>
      </c>
      <c r="E61" s="50">
        <f>VLOOKUP(C61,Active!C$21:E$973,3,FALSE)</f>
        <v>3243.0073240430106</v>
      </c>
      <c r="F61" s="4" t="s">
        <v>65</v>
      </c>
      <c r="G61" s="12" t="str">
        <f t="shared" si="10"/>
        <v>35366.407</v>
      </c>
      <c r="H61" s="9">
        <f t="shared" si="11"/>
        <v>3243</v>
      </c>
      <c r="I61" s="51" t="s">
        <v>159</v>
      </c>
      <c r="J61" s="52" t="s">
        <v>160</v>
      </c>
      <c r="K61" s="51">
        <v>3243</v>
      </c>
      <c r="L61" s="51" t="s">
        <v>161</v>
      </c>
      <c r="M61" s="52" t="s">
        <v>137</v>
      </c>
      <c r="N61" s="52"/>
      <c r="O61" s="53" t="s">
        <v>138</v>
      </c>
      <c r="P61" s="53" t="s">
        <v>153</v>
      </c>
    </row>
    <row r="62" spans="1:16" ht="12.75" customHeight="1" thickBot="1" x14ac:dyDescent="0.25">
      <c r="A62" s="9" t="str">
        <f t="shared" si="6"/>
        <v> AA 7.189 </v>
      </c>
      <c r="B62" s="4" t="str">
        <f t="shared" si="7"/>
        <v>I</v>
      </c>
      <c r="C62" s="9">
        <f t="shared" si="8"/>
        <v>35723.423000000003</v>
      </c>
      <c r="D62" s="12" t="str">
        <f t="shared" si="9"/>
        <v>vis</v>
      </c>
      <c r="E62" s="50">
        <f>VLOOKUP(C62,Active!C$21:E$973,3,FALSE)</f>
        <v>3415.0223585432491</v>
      </c>
      <c r="F62" s="4" t="s">
        <v>65</v>
      </c>
      <c r="G62" s="12" t="str">
        <f t="shared" si="10"/>
        <v>35723.423</v>
      </c>
      <c r="H62" s="9">
        <f t="shared" si="11"/>
        <v>3415</v>
      </c>
      <c r="I62" s="51" t="s">
        <v>162</v>
      </c>
      <c r="J62" s="52" t="s">
        <v>163</v>
      </c>
      <c r="K62" s="51">
        <v>3415</v>
      </c>
      <c r="L62" s="51" t="s">
        <v>101</v>
      </c>
      <c r="M62" s="52" t="s">
        <v>137</v>
      </c>
      <c r="N62" s="52"/>
      <c r="O62" s="53" t="s">
        <v>138</v>
      </c>
      <c r="P62" s="53" t="s">
        <v>164</v>
      </c>
    </row>
    <row r="63" spans="1:16" ht="12.75" customHeight="1" thickBot="1" x14ac:dyDescent="0.25">
      <c r="A63" s="9" t="str">
        <f t="shared" si="6"/>
        <v> AA 7.189 </v>
      </c>
      <c r="B63" s="4" t="str">
        <f t="shared" si="7"/>
        <v>I</v>
      </c>
      <c r="C63" s="9">
        <f t="shared" si="8"/>
        <v>35748.262000000002</v>
      </c>
      <c r="D63" s="12" t="str">
        <f t="shared" si="9"/>
        <v>vis</v>
      </c>
      <c r="E63" s="50">
        <f>VLOOKUP(C63,Active!C$21:E$973,3,FALSE)</f>
        <v>3426.9901175287046</v>
      </c>
      <c r="F63" s="4" t="s">
        <v>65</v>
      </c>
      <c r="G63" s="12" t="str">
        <f t="shared" si="10"/>
        <v>35748.262</v>
      </c>
      <c r="H63" s="9">
        <f t="shared" si="11"/>
        <v>3427</v>
      </c>
      <c r="I63" s="51" t="s">
        <v>165</v>
      </c>
      <c r="J63" s="52" t="s">
        <v>166</v>
      </c>
      <c r="K63" s="51">
        <v>3427</v>
      </c>
      <c r="L63" s="51" t="s">
        <v>167</v>
      </c>
      <c r="M63" s="52" t="s">
        <v>137</v>
      </c>
      <c r="N63" s="52"/>
      <c r="O63" s="53" t="s">
        <v>138</v>
      </c>
      <c r="P63" s="53" t="s">
        <v>164</v>
      </c>
    </row>
    <row r="64" spans="1:16" ht="12.75" customHeight="1" thickBot="1" x14ac:dyDescent="0.25">
      <c r="A64" s="9" t="str">
        <f t="shared" si="6"/>
        <v> AA 7.189 </v>
      </c>
      <c r="B64" s="4" t="str">
        <f t="shared" si="7"/>
        <v>I</v>
      </c>
      <c r="C64" s="9">
        <f t="shared" si="8"/>
        <v>35779.379000000001</v>
      </c>
      <c r="D64" s="12" t="str">
        <f t="shared" si="9"/>
        <v>vis</v>
      </c>
      <c r="E64" s="50">
        <f>VLOOKUP(C64,Active!C$21:E$973,3,FALSE)</f>
        <v>3441.9827000139253</v>
      </c>
      <c r="F64" s="4" t="s">
        <v>65</v>
      </c>
      <c r="G64" s="12" t="str">
        <f t="shared" si="10"/>
        <v>35779.379</v>
      </c>
      <c r="H64" s="9">
        <f t="shared" si="11"/>
        <v>3442</v>
      </c>
      <c r="I64" s="51" t="s">
        <v>168</v>
      </c>
      <c r="J64" s="52" t="s">
        <v>169</v>
      </c>
      <c r="K64" s="51">
        <v>3442</v>
      </c>
      <c r="L64" s="51" t="s">
        <v>170</v>
      </c>
      <c r="M64" s="52" t="s">
        <v>137</v>
      </c>
      <c r="N64" s="52"/>
      <c r="O64" s="53" t="s">
        <v>138</v>
      </c>
      <c r="P64" s="53" t="s">
        <v>164</v>
      </c>
    </row>
    <row r="65" spans="1:16" ht="12.75" customHeight="1" thickBot="1" x14ac:dyDescent="0.25">
      <c r="A65" s="9" t="str">
        <f t="shared" si="6"/>
        <v> AA 8.190 </v>
      </c>
      <c r="B65" s="4" t="str">
        <f t="shared" si="7"/>
        <v>I</v>
      </c>
      <c r="C65" s="9">
        <f t="shared" si="8"/>
        <v>36163.379000000001</v>
      </c>
      <c r="D65" s="12" t="str">
        <f t="shared" si="9"/>
        <v>vis</v>
      </c>
      <c r="E65" s="50">
        <f>VLOOKUP(C65,Active!C$21:E$973,3,FALSE)</f>
        <v>3626.9989828922585</v>
      </c>
      <c r="F65" s="4" t="s">
        <v>65</v>
      </c>
      <c r="G65" s="12" t="str">
        <f t="shared" si="10"/>
        <v>36163.379</v>
      </c>
      <c r="H65" s="9">
        <f t="shared" si="11"/>
        <v>3627</v>
      </c>
      <c r="I65" s="51" t="s">
        <v>171</v>
      </c>
      <c r="J65" s="52" t="s">
        <v>172</v>
      </c>
      <c r="K65" s="51">
        <v>3627</v>
      </c>
      <c r="L65" s="51" t="s">
        <v>173</v>
      </c>
      <c r="M65" s="52" t="s">
        <v>137</v>
      </c>
      <c r="N65" s="52"/>
      <c r="O65" s="53" t="s">
        <v>138</v>
      </c>
      <c r="P65" s="53" t="s">
        <v>174</v>
      </c>
    </row>
    <row r="66" spans="1:16" ht="12.75" customHeight="1" thickBot="1" x14ac:dyDescent="0.25">
      <c r="A66" s="9" t="str">
        <f t="shared" si="6"/>
        <v>VSB 40 </v>
      </c>
      <c r="B66" s="4" t="str">
        <f t="shared" si="7"/>
        <v>I</v>
      </c>
      <c r="C66" s="9">
        <f t="shared" si="8"/>
        <v>52448.104299999999</v>
      </c>
      <c r="D66" s="12" t="str">
        <f t="shared" si="9"/>
        <v>vis</v>
      </c>
      <c r="E66" s="50">
        <f>VLOOKUP(C66,Active!C$21:E$973,3,FALSE)</f>
        <v>11473.195187842119</v>
      </c>
      <c r="F66" s="4" t="s">
        <v>65</v>
      </c>
      <c r="G66" s="12" t="str">
        <f t="shared" si="10"/>
        <v>52448.1043</v>
      </c>
      <c r="H66" s="9">
        <f t="shared" si="11"/>
        <v>11473</v>
      </c>
      <c r="I66" s="51" t="s">
        <v>223</v>
      </c>
      <c r="J66" s="52" t="s">
        <v>224</v>
      </c>
      <c r="K66" s="51">
        <v>11473</v>
      </c>
      <c r="L66" s="51" t="s">
        <v>225</v>
      </c>
      <c r="M66" s="52" t="s">
        <v>184</v>
      </c>
      <c r="N66" s="52" t="s">
        <v>226</v>
      </c>
      <c r="O66" s="53" t="s">
        <v>227</v>
      </c>
      <c r="P66" s="54" t="s">
        <v>228</v>
      </c>
    </row>
    <row r="67" spans="1:16" ht="12.75" customHeight="1" thickBot="1" x14ac:dyDescent="0.25">
      <c r="A67" s="9" t="str">
        <f t="shared" si="6"/>
        <v>BAVM 212 </v>
      </c>
      <c r="B67" s="4" t="str">
        <f t="shared" si="7"/>
        <v>I</v>
      </c>
      <c r="C67" s="9">
        <f t="shared" si="8"/>
        <v>55096.523000000001</v>
      </c>
      <c r="D67" s="12" t="str">
        <f t="shared" si="9"/>
        <v>vis</v>
      </c>
      <c r="E67" s="50">
        <f>VLOOKUP(C67,Active!C$21:E$973,3,FALSE)</f>
        <v>12749.238373726148</v>
      </c>
      <c r="F67" s="4" t="s">
        <v>65</v>
      </c>
      <c r="G67" s="12" t="str">
        <f t="shared" si="10"/>
        <v>55096.5230</v>
      </c>
      <c r="H67" s="9">
        <f t="shared" si="11"/>
        <v>12749</v>
      </c>
      <c r="I67" s="51" t="s">
        <v>258</v>
      </c>
      <c r="J67" s="52" t="s">
        <v>259</v>
      </c>
      <c r="K67" s="51" t="s">
        <v>260</v>
      </c>
      <c r="L67" s="51" t="s">
        <v>261</v>
      </c>
      <c r="M67" s="52" t="s">
        <v>201</v>
      </c>
      <c r="N67" s="52" t="s">
        <v>241</v>
      </c>
      <c r="O67" s="53" t="s">
        <v>186</v>
      </c>
      <c r="P67" s="54" t="s">
        <v>262</v>
      </c>
    </row>
    <row r="68" spans="1:16" ht="12.75" customHeight="1" thickBot="1" x14ac:dyDescent="0.25">
      <c r="A68" s="9" t="str">
        <f t="shared" si="6"/>
        <v>VSB 51 </v>
      </c>
      <c r="B68" s="4" t="str">
        <f t="shared" si="7"/>
        <v>I</v>
      </c>
      <c r="C68" s="9">
        <f t="shared" si="8"/>
        <v>55416.158600000002</v>
      </c>
      <c r="D68" s="12" t="str">
        <f t="shared" si="9"/>
        <v>vis</v>
      </c>
      <c r="E68" s="50">
        <f>VLOOKUP(C68,Active!C$21:E$973,3,FALSE)</f>
        <v>12903.243036714653</v>
      </c>
      <c r="F68" s="4" t="s">
        <v>65</v>
      </c>
      <c r="G68" s="12" t="str">
        <f t="shared" si="10"/>
        <v>55416.1586</v>
      </c>
      <c r="H68" s="9">
        <f t="shared" si="11"/>
        <v>12903</v>
      </c>
      <c r="I68" s="51" t="s">
        <v>268</v>
      </c>
      <c r="J68" s="52" t="s">
        <v>269</v>
      </c>
      <c r="K68" s="51" t="s">
        <v>270</v>
      </c>
      <c r="L68" s="51" t="s">
        <v>271</v>
      </c>
      <c r="M68" s="52" t="s">
        <v>201</v>
      </c>
      <c r="N68" s="52" t="s">
        <v>272</v>
      </c>
      <c r="O68" s="53" t="s">
        <v>273</v>
      </c>
      <c r="P68" s="54" t="s">
        <v>274</v>
      </c>
    </row>
    <row r="69" spans="1:16" x14ac:dyDescent="0.2">
      <c r="B69" s="4"/>
      <c r="F69" s="4"/>
    </row>
    <row r="70" spans="1:16" x14ac:dyDescent="0.2">
      <c r="B70" s="4"/>
      <c r="F70" s="4"/>
    </row>
    <row r="71" spans="1:16" x14ac:dyDescent="0.2">
      <c r="B71" s="4"/>
      <c r="F71" s="4"/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</sheetData>
  <phoneticPr fontId="7" type="noConversion"/>
  <hyperlinks>
    <hyperlink ref="P20" r:id="rId1" display="http://www.bav-astro.de/sfs/BAVM_link.php?BAVMnr=132" xr:uid="{00000000-0004-0000-0100-000000000000}"/>
    <hyperlink ref="P21" r:id="rId2" display="http://www.bav-astro.de/sfs/BAVM_link.php?BAVMnr=132" xr:uid="{00000000-0004-0000-0100-000001000000}"/>
    <hyperlink ref="P22" r:id="rId3" display="http://www.bav-astro.de/sfs/BAVM_link.php?BAVMnr=132" xr:uid="{00000000-0004-0000-0100-000002000000}"/>
    <hyperlink ref="P23" r:id="rId4" display="http://www.bav-astro.de/sfs/BAVM_link.php?BAVMnr=132" xr:uid="{00000000-0004-0000-0100-000003000000}"/>
    <hyperlink ref="P24" r:id="rId5" display="http://www.bav-astro.de/sfs/BAVM_link.php?BAVMnr=178" xr:uid="{00000000-0004-0000-0100-000004000000}"/>
    <hyperlink ref="P25" r:id="rId6" display="http://www.bav-astro.de/sfs/BAVM_link.php?BAVMnr=132" xr:uid="{00000000-0004-0000-0100-000005000000}"/>
    <hyperlink ref="P26" r:id="rId7" display="http://www.bav-astro.de/sfs/BAVM_link.php?BAVMnr=132" xr:uid="{00000000-0004-0000-0100-000006000000}"/>
    <hyperlink ref="P27" r:id="rId8" display="http://www.bav-astro.de/sfs/BAVM_link.php?BAVMnr=152" xr:uid="{00000000-0004-0000-0100-000007000000}"/>
    <hyperlink ref="P28" r:id="rId9" display="http://www.bav-astro.de/sfs/BAVM_link.php?BAVMnr=152" xr:uid="{00000000-0004-0000-0100-000008000000}"/>
    <hyperlink ref="P29" r:id="rId10" display="http://www.bav-astro.de/sfs/BAVM_link.php?BAVMnr=152" xr:uid="{00000000-0004-0000-0100-000009000000}"/>
    <hyperlink ref="P30" r:id="rId11" display="http://www.bav-astro.de/sfs/BAVM_link.php?BAVMnr=152" xr:uid="{00000000-0004-0000-0100-00000A000000}"/>
    <hyperlink ref="P66" r:id="rId12" display="http://vsolj.cetus-net.org/no40.pdf" xr:uid="{00000000-0004-0000-0100-00000B000000}"/>
    <hyperlink ref="P31" r:id="rId13" display="http://www.bav-astro.de/sfs/BAVM_link.php?BAVMnr=172" xr:uid="{00000000-0004-0000-0100-00000C000000}"/>
    <hyperlink ref="P32" r:id="rId14" display="http://www.konkoly.hu/cgi-bin/IBVS?5592" xr:uid="{00000000-0004-0000-0100-00000D000000}"/>
    <hyperlink ref="P33" r:id="rId15" display="http://www.bav-astro.de/sfs/BAVM_link.php?BAVMnr=178" xr:uid="{00000000-0004-0000-0100-00000E000000}"/>
    <hyperlink ref="P34" r:id="rId16" display="http://www.bav-astro.de/sfs/BAVM_link.php?BAVMnr=178" xr:uid="{00000000-0004-0000-0100-00000F000000}"/>
    <hyperlink ref="P35" r:id="rId17" display="http://www.bav-astro.de/sfs/BAVM_link.php?BAVMnr=183" xr:uid="{00000000-0004-0000-0100-000010000000}"/>
    <hyperlink ref="P36" r:id="rId18" display="http://www.bav-astro.de/sfs/BAVM_link.php?BAVMnr=201" xr:uid="{00000000-0004-0000-0100-000011000000}"/>
    <hyperlink ref="P67" r:id="rId19" display="http://www.bav-astro.de/sfs/BAVM_link.php?BAVMnr=212" xr:uid="{00000000-0004-0000-0100-000012000000}"/>
    <hyperlink ref="P37" r:id="rId20" display="http://www.bav-astro.de/sfs/BAVM_link.php?BAVMnr=215" xr:uid="{00000000-0004-0000-0100-000013000000}"/>
    <hyperlink ref="P68" r:id="rId21" display="http://vsolj.cetus-net.org/vsoljno51.pdf" xr:uid="{00000000-0004-0000-0100-000014000000}"/>
    <hyperlink ref="P38" r:id="rId22" display="http://www.bav-astro.de/sfs/BAVM_link.php?BAVMnr=231" xr:uid="{00000000-0004-0000-0100-000015000000}"/>
    <hyperlink ref="P11" r:id="rId23" display="http://www.bav-astro.de/sfs/BAVM_link.php?BAVMnr=241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2023-01-12T06:56:06Z</dcterms:modified>
</cp:coreProperties>
</file>