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234FC0A-3292-4A6B-8868-7D8BA3841157}" xr6:coauthVersionLast="47" xr6:coauthVersionMax="47" xr10:uidLastSave="{00000000-0000-0000-0000-000000000000}"/>
  <bookViews>
    <workbookView xWindow="14130" yWindow="675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7" i="1" l="1"/>
  <c r="E107" i="1"/>
  <c r="F107" i="1" s="1"/>
  <c r="G107" i="1" s="1"/>
  <c r="K107" i="1" s="1"/>
  <c r="Q107" i="1"/>
  <c r="G13" i="1"/>
  <c r="G14" i="1" s="1"/>
  <c r="Q88" i="1"/>
  <c r="Q97" i="1"/>
  <c r="C7" i="1"/>
  <c r="C8" i="1"/>
  <c r="E68" i="1" s="1"/>
  <c r="F68" i="1" s="1"/>
  <c r="G68" i="1" s="1"/>
  <c r="K68" i="1" s="1"/>
  <c r="E79" i="1"/>
  <c r="F79" i="1" s="1"/>
  <c r="G79" i="1" s="1"/>
  <c r="E75" i="1"/>
  <c r="F75" i="1" s="1"/>
  <c r="G75" i="1" s="1"/>
  <c r="E83" i="1"/>
  <c r="F83" i="1" s="1"/>
  <c r="G83" i="1" s="1"/>
  <c r="K83" i="1" s="1"/>
  <c r="E87" i="1"/>
  <c r="F87" i="1" s="1"/>
  <c r="G87" i="1" s="1"/>
  <c r="K87" i="1" s="1"/>
  <c r="E90" i="1"/>
  <c r="F90" i="1" s="1"/>
  <c r="G90" i="1" s="1"/>
  <c r="K90" i="1" s="1"/>
  <c r="E95" i="1"/>
  <c r="F95" i="1" s="1"/>
  <c r="G95" i="1" s="1"/>
  <c r="E102" i="1"/>
  <c r="F102" i="1" s="1"/>
  <c r="G102" i="1" s="1"/>
  <c r="R102" i="1" s="1"/>
  <c r="E100" i="1"/>
  <c r="F100" i="1" s="1"/>
  <c r="G100" i="1" s="1"/>
  <c r="E105" i="1"/>
  <c r="F105" i="1" s="1"/>
  <c r="G105" i="1" s="1"/>
  <c r="K105" i="1" s="1"/>
  <c r="E26" i="1"/>
  <c r="F26" i="1" s="1"/>
  <c r="G26" i="1" s="1"/>
  <c r="E31" i="1"/>
  <c r="F31" i="1" s="1"/>
  <c r="G31" i="1" s="1"/>
  <c r="E34" i="1"/>
  <c r="F34" i="1" s="1"/>
  <c r="G34" i="1" s="1"/>
  <c r="E37" i="1"/>
  <c r="F37" i="1" s="1"/>
  <c r="G37" i="1" s="1"/>
  <c r="I37" i="1" s="1"/>
  <c r="E39" i="1"/>
  <c r="F39" i="1" s="1"/>
  <c r="G39" i="1" s="1"/>
  <c r="E40" i="1"/>
  <c r="F40" i="1" s="1"/>
  <c r="G40" i="1" s="1"/>
  <c r="E43" i="1"/>
  <c r="F43" i="1" s="1"/>
  <c r="G43" i="1" s="1"/>
  <c r="E44" i="1"/>
  <c r="F44" i="1"/>
  <c r="G44" i="1" s="1"/>
  <c r="I44" i="1" s="1"/>
  <c r="E47" i="1"/>
  <c r="F47" i="1" s="1"/>
  <c r="G47" i="1" s="1"/>
  <c r="E53" i="1"/>
  <c r="F53" i="1" s="1"/>
  <c r="G53" i="1"/>
  <c r="I53" i="1" s="1"/>
  <c r="E55" i="1"/>
  <c r="F55" i="1" s="1"/>
  <c r="G55" i="1" s="1"/>
  <c r="E58" i="1"/>
  <c r="F58" i="1" s="1"/>
  <c r="G58" i="1" s="1"/>
  <c r="I58" i="1" s="1"/>
  <c r="E80" i="1"/>
  <c r="F80" i="1"/>
  <c r="G80" i="1" s="1"/>
  <c r="S80" i="1" s="1"/>
  <c r="E85" i="1"/>
  <c r="F85" i="1" s="1"/>
  <c r="G85" i="1" s="1"/>
  <c r="E96" i="1"/>
  <c r="F96" i="1" s="1"/>
  <c r="G96" i="1" s="1"/>
  <c r="E21" i="1"/>
  <c r="F21" i="1" s="1"/>
  <c r="G21" i="1" s="1"/>
  <c r="I21" i="1" s="1"/>
  <c r="E93" i="1"/>
  <c r="F93" i="1" s="1"/>
  <c r="G93" i="1" s="1"/>
  <c r="K93" i="1" s="1"/>
  <c r="E84" i="1"/>
  <c r="F84" i="1" s="1"/>
  <c r="G84" i="1"/>
  <c r="R84" i="1" s="1"/>
  <c r="E82" i="1"/>
  <c r="F82" i="1" s="1"/>
  <c r="G82" i="1" s="1"/>
  <c r="E66" i="1"/>
  <c r="F66" i="1"/>
  <c r="G66" i="1" s="1"/>
  <c r="E64" i="1"/>
  <c r="F64" i="1"/>
  <c r="G64" i="1" s="1"/>
  <c r="E59" i="1"/>
  <c r="F59" i="1" s="1"/>
  <c r="G59" i="1" s="1"/>
  <c r="R59" i="1" s="1"/>
  <c r="E57" i="1"/>
  <c r="F57" i="1" s="1"/>
  <c r="G57" i="1" s="1"/>
  <c r="I57" i="1" s="1"/>
  <c r="R57" i="1"/>
  <c r="E56" i="1"/>
  <c r="F56" i="1" s="1"/>
  <c r="G56" i="1" s="1"/>
  <c r="E54" i="1"/>
  <c r="F54" i="1"/>
  <c r="G54" i="1" s="1"/>
  <c r="I54" i="1" s="1"/>
  <c r="E52" i="1"/>
  <c r="F52" i="1" s="1"/>
  <c r="G52" i="1" s="1"/>
  <c r="E51" i="1"/>
  <c r="F51" i="1" s="1"/>
  <c r="G51" i="1" s="1"/>
  <c r="I51" i="1" s="1"/>
  <c r="E50" i="1"/>
  <c r="F50" i="1"/>
  <c r="G50" i="1" s="1"/>
  <c r="E49" i="1"/>
  <c r="F49" i="1" s="1"/>
  <c r="G49" i="1" s="1"/>
  <c r="E48" i="1"/>
  <c r="F48" i="1" s="1"/>
  <c r="G48" i="1" s="1"/>
  <c r="E46" i="1"/>
  <c r="F46" i="1" s="1"/>
  <c r="G46" i="1" s="1"/>
  <c r="I46" i="1" s="1"/>
  <c r="E45" i="1"/>
  <c r="F45" i="1" s="1"/>
  <c r="G45" i="1" s="1"/>
  <c r="E42" i="1"/>
  <c r="F42" i="1" s="1"/>
  <c r="G42" i="1" s="1"/>
  <c r="R42" i="1" s="1"/>
  <c r="E41" i="1"/>
  <c r="F41" i="1" s="1"/>
  <c r="G41" i="1" s="1"/>
  <c r="R41" i="1" s="1"/>
  <c r="E38" i="1"/>
  <c r="F38" i="1" s="1"/>
  <c r="G38" i="1" s="1"/>
  <c r="E29" i="1"/>
  <c r="F29" i="1" s="1"/>
  <c r="G29" i="1" s="1"/>
  <c r="E27" i="1"/>
  <c r="F27" i="1"/>
  <c r="G27" i="1" s="1"/>
  <c r="R27" i="1" s="1"/>
  <c r="E25" i="1"/>
  <c r="F25" i="1" s="1"/>
  <c r="G25" i="1" s="1"/>
  <c r="E24" i="1"/>
  <c r="F24" i="1" s="1"/>
  <c r="G24" i="1" s="1"/>
  <c r="I24" i="1" s="1"/>
  <c r="E65" i="1"/>
  <c r="F65" i="1" s="1"/>
  <c r="G65" i="1" s="1"/>
  <c r="E60" i="1"/>
  <c r="F60" i="1" s="1"/>
  <c r="G60" i="1" s="1"/>
  <c r="E63" i="1"/>
  <c r="F63" i="1"/>
  <c r="G63" i="1" s="1"/>
  <c r="I63" i="1" s="1"/>
  <c r="E28" i="1"/>
  <c r="F28" i="1" s="1"/>
  <c r="G28" i="1" s="1"/>
  <c r="H28" i="1" s="1"/>
  <c r="D14" i="1"/>
  <c r="D13" i="1"/>
  <c r="C14" i="1"/>
  <c r="C13" i="1"/>
  <c r="Q98" i="1"/>
  <c r="Q96" i="1"/>
  <c r="Q95" i="1"/>
  <c r="Q94" i="1"/>
  <c r="Q93" i="1"/>
  <c r="Q92" i="1"/>
  <c r="Q91" i="1"/>
  <c r="Q90" i="1"/>
  <c r="Q89" i="1"/>
  <c r="Q87" i="1"/>
  <c r="Q86" i="1"/>
  <c r="Q85" i="1"/>
  <c r="Q84" i="1"/>
  <c r="Q82" i="1"/>
  <c r="Q80" i="1"/>
  <c r="Q66" i="1"/>
  <c r="Q64" i="1"/>
  <c r="Q62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G34" i="2"/>
  <c r="C34" i="2" s="1"/>
  <c r="G33" i="2"/>
  <c r="C33" i="2" s="1"/>
  <c r="E33" i="2" s="1"/>
  <c r="G32" i="2"/>
  <c r="C32" i="2" s="1"/>
  <c r="G31" i="2"/>
  <c r="C31" i="2" s="1"/>
  <c r="G30" i="2"/>
  <c r="C30" i="2" s="1"/>
  <c r="E30" i="2" s="1"/>
  <c r="G29" i="2"/>
  <c r="C29" i="2" s="1"/>
  <c r="G28" i="2"/>
  <c r="C28" i="2" s="1"/>
  <c r="E28" i="2" s="1"/>
  <c r="G27" i="2"/>
  <c r="C27" i="2" s="1"/>
  <c r="G90" i="2"/>
  <c r="C90" i="2" s="1"/>
  <c r="G89" i="2"/>
  <c r="C89" i="2" s="1"/>
  <c r="E89" i="2" s="1"/>
  <c r="G88" i="2"/>
  <c r="C88" i="2" s="1"/>
  <c r="E88" i="2"/>
  <c r="G87" i="2"/>
  <c r="C87" i="2"/>
  <c r="G86" i="2"/>
  <c r="C86" i="2"/>
  <c r="E86" i="2" s="1"/>
  <c r="G85" i="2"/>
  <c r="C85" i="2"/>
  <c r="G84" i="2"/>
  <c r="C84" i="2" s="1"/>
  <c r="G83" i="2"/>
  <c r="C83" i="2" s="1"/>
  <c r="E83" i="2" s="1"/>
  <c r="G82" i="2"/>
  <c r="C82" i="2" s="1"/>
  <c r="G81" i="2"/>
  <c r="C81" i="2" s="1"/>
  <c r="G80" i="2"/>
  <c r="C80" i="2" s="1"/>
  <c r="G79" i="2"/>
  <c r="C79" i="2"/>
  <c r="E79" i="2" s="1"/>
  <c r="G78" i="2"/>
  <c r="C78" i="2"/>
  <c r="E78" i="2" s="1"/>
  <c r="G26" i="2"/>
  <c r="C26" i="2"/>
  <c r="E26" i="2" s="1"/>
  <c r="G77" i="2"/>
  <c r="C77" i="2" s="1"/>
  <c r="E77" i="2" s="1"/>
  <c r="G25" i="2"/>
  <c r="C25" i="2" s="1"/>
  <c r="G76" i="2"/>
  <c r="C76" i="2" s="1"/>
  <c r="E76" i="2" s="1"/>
  <c r="G24" i="2"/>
  <c r="C24" i="2" s="1"/>
  <c r="E24" i="2" s="1"/>
  <c r="G23" i="2"/>
  <c r="C23" i="2" s="1"/>
  <c r="G22" i="2"/>
  <c r="C22" i="2"/>
  <c r="G21" i="2"/>
  <c r="C21" i="2"/>
  <c r="E21" i="2" s="1"/>
  <c r="G20" i="2"/>
  <c r="C20" i="2"/>
  <c r="G19" i="2"/>
  <c r="C19" i="2" s="1"/>
  <c r="G18" i="2"/>
  <c r="C18" i="2" s="1"/>
  <c r="G17" i="2"/>
  <c r="C17" i="2" s="1"/>
  <c r="G16" i="2"/>
  <c r="C16" i="2" s="1"/>
  <c r="G15" i="2"/>
  <c r="C15" i="2" s="1"/>
  <c r="G14" i="2"/>
  <c r="C14" i="2"/>
  <c r="G13" i="2"/>
  <c r="C13" i="2"/>
  <c r="G75" i="2"/>
  <c r="C75" i="2"/>
  <c r="E75" i="2" s="1"/>
  <c r="G12" i="2"/>
  <c r="C12" i="2" s="1"/>
  <c r="E12" i="2" s="1"/>
  <c r="G74" i="2"/>
  <c r="C74" i="2" s="1"/>
  <c r="E74" i="2" s="1"/>
  <c r="G73" i="2"/>
  <c r="C73" i="2" s="1"/>
  <c r="G11" i="2"/>
  <c r="C11" i="2" s="1"/>
  <c r="E11" i="2" s="1"/>
  <c r="G72" i="2"/>
  <c r="C72" i="2" s="1"/>
  <c r="E72" i="2" s="1"/>
  <c r="G71" i="2"/>
  <c r="C71" i="2" s="1"/>
  <c r="E71" i="2" s="1"/>
  <c r="G70" i="2"/>
  <c r="C70" i="2" s="1"/>
  <c r="E70" i="2" s="1"/>
  <c r="G69" i="2"/>
  <c r="C69" i="2" s="1"/>
  <c r="E69" i="2"/>
  <c r="G68" i="2"/>
  <c r="C68" i="2"/>
  <c r="E68" i="2" s="1"/>
  <c r="G67" i="2"/>
  <c r="C67" i="2"/>
  <c r="E67" i="2" s="1"/>
  <c r="G66" i="2"/>
  <c r="C66" i="2"/>
  <c r="E66" i="2" s="1"/>
  <c r="G65" i="2"/>
  <c r="C65" i="2" s="1"/>
  <c r="E65" i="2" s="1"/>
  <c r="G64" i="2"/>
  <c r="C64" i="2" s="1"/>
  <c r="E64" i="2" s="1"/>
  <c r="G63" i="2"/>
  <c r="C63" i="2" s="1"/>
  <c r="E63" i="2" s="1"/>
  <c r="G62" i="2"/>
  <c r="C62" i="2" s="1"/>
  <c r="E62" i="2" s="1"/>
  <c r="G61" i="2"/>
  <c r="C61" i="2" s="1"/>
  <c r="E61" i="2" s="1"/>
  <c r="G60" i="2"/>
  <c r="C60" i="2"/>
  <c r="E60" i="2" s="1"/>
  <c r="G59" i="2"/>
  <c r="C59" i="2"/>
  <c r="E59" i="2" s="1"/>
  <c r="G58" i="2"/>
  <c r="C58" i="2"/>
  <c r="E58" i="2" s="1"/>
  <c r="G57" i="2"/>
  <c r="C57" i="2" s="1"/>
  <c r="E57" i="2" s="1"/>
  <c r="G56" i="2"/>
  <c r="C56" i="2" s="1"/>
  <c r="E56" i="2" s="1"/>
  <c r="G55" i="2"/>
  <c r="C55" i="2" s="1"/>
  <c r="G54" i="2"/>
  <c r="C54" i="2" s="1"/>
  <c r="E54" i="2" s="1"/>
  <c r="G53" i="2"/>
  <c r="C53" i="2" s="1"/>
  <c r="E53" i="2"/>
  <c r="G52" i="2"/>
  <c r="C52" i="2"/>
  <c r="E52" i="2" s="1"/>
  <c r="G51" i="2"/>
  <c r="C51" i="2"/>
  <c r="E51" i="2" s="1"/>
  <c r="G50" i="2"/>
  <c r="C50" i="2"/>
  <c r="E50" i="2" s="1"/>
  <c r="G49" i="2"/>
  <c r="C49" i="2" s="1"/>
  <c r="G48" i="2"/>
  <c r="C48" i="2" s="1"/>
  <c r="G47" i="2"/>
  <c r="C47" i="2" s="1"/>
  <c r="E47" i="2" s="1"/>
  <c r="G46" i="2"/>
  <c r="C46" i="2" s="1"/>
  <c r="G45" i="2"/>
  <c r="C45" i="2" s="1"/>
  <c r="G44" i="2"/>
  <c r="C44" i="2"/>
  <c r="E44" i="2" s="1"/>
  <c r="G43" i="2"/>
  <c r="C43" i="2"/>
  <c r="G42" i="2"/>
  <c r="C42" i="2"/>
  <c r="E42" i="2" s="1"/>
  <c r="G41" i="2"/>
  <c r="C41" i="2" s="1"/>
  <c r="E41" i="2" s="1"/>
  <c r="G40" i="2"/>
  <c r="C40" i="2" s="1"/>
  <c r="E40" i="2" s="1"/>
  <c r="G39" i="2"/>
  <c r="C39" i="2" s="1"/>
  <c r="E39" i="2" s="1"/>
  <c r="G38" i="2"/>
  <c r="C38" i="2" s="1"/>
  <c r="E38" i="2" s="1"/>
  <c r="G37" i="2"/>
  <c r="C37" i="2" s="1"/>
  <c r="G36" i="2"/>
  <c r="C36" i="2"/>
  <c r="G35" i="2"/>
  <c r="C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90" i="2"/>
  <c r="F90" i="2"/>
  <c r="D90" i="2" s="1"/>
  <c r="B90" i="2"/>
  <c r="A90" i="2"/>
  <c r="H89" i="2"/>
  <c r="B89" i="2"/>
  <c r="F89" i="2"/>
  <c r="D89" i="2" s="1"/>
  <c r="A89" i="2"/>
  <c r="H88" i="2"/>
  <c r="B88" i="2" s="1"/>
  <c r="F88" i="2"/>
  <c r="D88" i="2" s="1"/>
  <c r="A88" i="2"/>
  <c r="H87" i="2"/>
  <c r="B87" i="2" s="1"/>
  <c r="F87" i="2"/>
  <c r="D87" i="2" s="1"/>
  <c r="A87" i="2"/>
  <c r="H86" i="2"/>
  <c r="B86" i="2"/>
  <c r="F86" i="2"/>
  <c r="D86" i="2" s="1"/>
  <c r="A86" i="2"/>
  <c r="H85" i="2"/>
  <c r="B85" i="2" s="1"/>
  <c r="D85" i="2"/>
  <c r="A85" i="2"/>
  <c r="H84" i="2"/>
  <c r="B84" i="2"/>
  <c r="D84" i="2"/>
  <c r="A84" i="2"/>
  <c r="H83" i="2"/>
  <c r="B83" i="2" s="1"/>
  <c r="D83" i="2"/>
  <c r="A83" i="2"/>
  <c r="H82" i="2"/>
  <c r="B82" i="2"/>
  <c r="D82" i="2"/>
  <c r="A82" i="2"/>
  <c r="H81" i="2"/>
  <c r="B81" i="2" s="1"/>
  <c r="D81" i="2"/>
  <c r="A81" i="2"/>
  <c r="H80" i="2"/>
  <c r="B80" i="2"/>
  <c r="D80" i="2"/>
  <c r="A80" i="2"/>
  <c r="H79" i="2"/>
  <c r="B79" i="2" s="1"/>
  <c r="D79" i="2"/>
  <c r="A79" i="2"/>
  <c r="H78" i="2"/>
  <c r="B78" i="2"/>
  <c r="D78" i="2"/>
  <c r="A78" i="2"/>
  <c r="H26" i="2"/>
  <c r="B26" i="2" s="1"/>
  <c r="D26" i="2"/>
  <c r="A26" i="2"/>
  <c r="H77" i="2"/>
  <c r="B77" i="2"/>
  <c r="D77" i="2"/>
  <c r="A77" i="2"/>
  <c r="H25" i="2"/>
  <c r="B25" i="2" s="1"/>
  <c r="D25" i="2"/>
  <c r="A25" i="2"/>
  <c r="H76" i="2"/>
  <c r="B76" i="2"/>
  <c r="D76" i="2"/>
  <c r="A76" i="2"/>
  <c r="H24" i="2"/>
  <c r="B24" i="2" s="1"/>
  <c r="D24" i="2"/>
  <c r="A24" i="2"/>
  <c r="H23" i="2"/>
  <c r="B23" i="2"/>
  <c r="D23" i="2"/>
  <c r="A23" i="2"/>
  <c r="H22" i="2"/>
  <c r="B22" i="2" s="1"/>
  <c r="D22" i="2"/>
  <c r="A22" i="2"/>
  <c r="H21" i="2"/>
  <c r="B21" i="2"/>
  <c r="D21" i="2"/>
  <c r="A21" i="2"/>
  <c r="H20" i="2"/>
  <c r="B20" i="2" s="1"/>
  <c r="D20" i="2"/>
  <c r="A20" i="2"/>
  <c r="H19" i="2"/>
  <c r="B19" i="2"/>
  <c r="D19" i="2"/>
  <c r="A19" i="2"/>
  <c r="H18" i="2"/>
  <c r="B18" i="2" s="1"/>
  <c r="D18" i="2"/>
  <c r="A18" i="2"/>
  <c r="H17" i="2"/>
  <c r="B17" i="2"/>
  <c r="D17" i="2"/>
  <c r="A17" i="2"/>
  <c r="H16" i="2"/>
  <c r="B16" i="2" s="1"/>
  <c r="D16" i="2"/>
  <c r="A16" i="2"/>
  <c r="H15" i="2"/>
  <c r="B15" i="2"/>
  <c r="D15" i="2"/>
  <c r="A15" i="2"/>
  <c r="H14" i="2"/>
  <c r="B14" i="2" s="1"/>
  <c r="D14" i="2"/>
  <c r="A14" i="2"/>
  <c r="H13" i="2"/>
  <c r="B13" i="2"/>
  <c r="D13" i="2"/>
  <c r="A13" i="2"/>
  <c r="H75" i="2"/>
  <c r="B75" i="2" s="1"/>
  <c r="D75" i="2"/>
  <c r="A75" i="2"/>
  <c r="H12" i="2"/>
  <c r="B12" i="2"/>
  <c r="D12" i="2"/>
  <c r="A12" i="2"/>
  <c r="H74" i="2"/>
  <c r="B74" i="2" s="1"/>
  <c r="D74" i="2"/>
  <c r="A74" i="2"/>
  <c r="H73" i="2"/>
  <c r="B73" i="2"/>
  <c r="D73" i="2"/>
  <c r="A73" i="2"/>
  <c r="H11" i="2"/>
  <c r="B11" i="2" s="1"/>
  <c r="D11" i="2"/>
  <c r="A11" i="2"/>
  <c r="H72" i="2"/>
  <c r="B72" i="2"/>
  <c r="D72" i="2"/>
  <c r="A72" i="2"/>
  <c r="H71" i="2"/>
  <c r="B71" i="2" s="1"/>
  <c r="D71" i="2"/>
  <c r="A71" i="2"/>
  <c r="H70" i="2"/>
  <c r="B70" i="2"/>
  <c r="D70" i="2"/>
  <c r="A70" i="2"/>
  <c r="H69" i="2"/>
  <c r="B69" i="2" s="1"/>
  <c r="D69" i="2"/>
  <c r="A69" i="2"/>
  <c r="H68" i="2"/>
  <c r="B68" i="2"/>
  <c r="D68" i="2"/>
  <c r="A68" i="2"/>
  <c r="H67" i="2"/>
  <c r="B67" i="2" s="1"/>
  <c r="D67" i="2"/>
  <c r="A67" i="2"/>
  <c r="H66" i="2"/>
  <c r="B66" i="2"/>
  <c r="D66" i="2"/>
  <c r="A66" i="2"/>
  <c r="H65" i="2"/>
  <c r="B65" i="2" s="1"/>
  <c r="D65" i="2"/>
  <c r="A65" i="2"/>
  <c r="H64" i="2"/>
  <c r="B64" i="2"/>
  <c r="D64" i="2"/>
  <c r="A64" i="2"/>
  <c r="H63" i="2"/>
  <c r="B63" i="2" s="1"/>
  <c r="D63" i="2"/>
  <c r="A63" i="2"/>
  <c r="H62" i="2"/>
  <c r="B62" i="2"/>
  <c r="D62" i="2"/>
  <c r="A62" i="2"/>
  <c r="H61" i="2"/>
  <c r="B61" i="2" s="1"/>
  <c r="D61" i="2"/>
  <c r="A61" i="2"/>
  <c r="H60" i="2"/>
  <c r="B60" i="2"/>
  <c r="D60" i="2"/>
  <c r="A60" i="2"/>
  <c r="H59" i="2"/>
  <c r="B59" i="2" s="1"/>
  <c r="D59" i="2"/>
  <c r="A59" i="2"/>
  <c r="H58" i="2"/>
  <c r="B58" i="2"/>
  <c r="D58" i="2"/>
  <c r="A58" i="2"/>
  <c r="H57" i="2"/>
  <c r="B57" i="2" s="1"/>
  <c r="D57" i="2"/>
  <c r="A57" i="2"/>
  <c r="H56" i="2"/>
  <c r="B56" i="2"/>
  <c r="D56" i="2"/>
  <c r="A56" i="2"/>
  <c r="H55" i="2"/>
  <c r="B55" i="2" s="1"/>
  <c r="D55" i="2"/>
  <c r="A55" i="2"/>
  <c r="H54" i="2"/>
  <c r="B54" i="2"/>
  <c r="D54" i="2"/>
  <c r="A54" i="2"/>
  <c r="H53" i="2"/>
  <c r="B53" i="2" s="1"/>
  <c r="D53" i="2"/>
  <c r="A53" i="2"/>
  <c r="H52" i="2"/>
  <c r="B52" i="2"/>
  <c r="D52" i="2"/>
  <c r="A52" i="2"/>
  <c r="H51" i="2"/>
  <c r="B51" i="2" s="1"/>
  <c r="D51" i="2"/>
  <c r="A51" i="2"/>
  <c r="H50" i="2"/>
  <c r="B50" i="2"/>
  <c r="D50" i="2"/>
  <c r="A50" i="2"/>
  <c r="H49" i="2"/>
  <c r="B49" i="2" s="1"/>
  <c r="D49" i="2"/>
  <c r="A49" i="2"/>
  <c r="H48" i="2"/>
  <c r="B48" i="2"/>
  <c r="D48" i="2"/>
  <c r="A48" i="2"/>
  <c r="H47" i="2"/>
  <c r="B47" i="2" s="1"/>
  <c r="D47" i="2"/>
  <c r="A47" i="2"/>
  <c r="H46" i="2"/>
  <c r="B46" i="2"/>
  <c r="D46" i="2"/>
  <c r="A46" i="2"/>
  <c r="H45" i="2"/>
  <c r="B45" i="2" s="1"/>
  <c r="D45" i="2"/>
  <c r="A45" i="2"/>
  <c r="H44" i="2"/>
  <c r="B44" i="2"/>
  <c r="D44" i="2"/>
  <c r="A44" i="2"/>
  <c r="H43" i="2"/>
  <c r="B43" i="2" s="1"/>
  <c r="D43" i="2"/>
  <c r="A43" i="2"/>
  <c r="H42" i="2"/>
  <c r="B42" i="2"/>
  <c r="D42" i="2"/>
  <c r="A42" i="2"/>
  <c r="H41" i="2"/>
  <c r="B41" i="2" s="1"/>
  <c r="D41" i="2"/>
  <c r="A41" i="2"/>
  <c r="H40" i="2"/>
  <c r="B40" i="2"/>
  <c r="D40" i="2"/>
  <c r="A40" i="2"/>
  <c r="H39" i="2"/>
  <c r="B39" i="2" s="1"/>
  <c r="D39" i="2"/>
  <c r="A39" i="2"/>
  <c r="H38" i="2"/>
  <c r="B38" i="2"/>
  <c r="D38" i="2"/>
  <c r="A38" i="2"/>
  <c r="H37" i="2"/>
  <c r="B37" i="2" s="1"/>
  <c r="D37" i="2"/>
  <c r="A37" i="2"/>
  <c r="H36" i="2"/>
  <c r="B36" i="2"/>
  <c r="D36" i="2"/>
  <c r="A36" i="2"/>
  <c r="H35" i="2"/>
  <c r="B35" i="2" s="1"/>
  <c r="D35" i="2"/>
  <c r="A35" i="2"/>
  <c r="Q105" i="1"/>
  <c r="Q106" i="1"/>
  <c r="Q99" i="1"/>
  <c r="Q104" i="1"/>
  <c r="Q100" i="1"/>
  <c r="Q101" i="1"/>
  <c r="Q102" i="1"/>
  <c r="Q103" i="1"/>
  <c r="Q83" i="1"/>
  <c r="Q81" i="1"/>
  <c r="C17" i="1"/>
  <c r="Q73" i="1"/>
  <c r="Q74" i="1"/>
  <c r="Q75" i="1"/>
  <c r="Q76" i="1"/>
  <c r="Q78" i="1"/>
  <c r="Q79" i="1"/>
  <c r="Q77" i="1"/>
  <c r="Q72" i="1"/>
  <c r="Q71" i="1"/>
  <c r="Q70" i="1"/>
  <c r="Q69" i="1"/>
  <c r="Q68" i="1"/>
  <c r="Q67" i="1"/>
  <c r="Q61" i="1"/>
  <c r="Q60" i="1"/>
  <c r="Q63" i="1"/>
  <c r="Q65" i="1"/>
  <c r="Q28" i="1"/>
  <c r="K84" i="1"/>
  <c r="I55" i="1"/>
  <c r="S55" i="1"/>
  <c r="I43" i="1"/>
  <c r="S43" i="1"/>
  <c r="S90" i="1"/>
  <c r="K75" i="1"/>
  <c r="S75" i="1"/>
  <c r="R82" i="1"/>
  <c r="K82" i="1"/>
  <c r="S96" i="1"/>
  <c r="K96" i="1"/>
  <c r="S58" i="1"/>
  <c r="I26" i="1"/>
  <c r="S26" i="1"/>
  <c r="R66" i="1"/>
  <c r="K66" i="1"/>
  <c r="K80" i="1"/>
  <c r="I47" i="1"/>
  <c r="S47" i="1"/>
  <c r="I34" i="1"/>
  <c r="S34" i="1"/>
  <c r="S105" i="1"/>
  <c r="R95" i="1"/>
  <c r="K95" i="1"/>
  <c r="J60" i="1"/>
  <c r="R60" i="1"/>
  <c r="R25" i="1"/>
  <c r="I25" i="1"/>
  <c r="R29" i="1"/>
  <c r="I29" i="1"/>
  <c r="R45" i="1"/>
  <c r="I45" i="1"/>
  <c r="R64" i="1"/>
  <c r="K64" i="1"/>
  <c r="S85" i="1"/>
  <c r="K85" i="1"/>
  <c r="I40" i="1"/>
  <c r="S40" i="1"/>
  <c r="I31" i="1"/>
  <c r="S31" i="1"/>
  <c r="K100" i="1"/>
  <c r="R100" i="1"/>
  <c r="R79" i="1"/>
  <c r="J79" i="1"/>
  <c r="E67" i="1"/>
  <c r="F67" i="1" s="1"/>
  <c r="G67" i="1" s="1"/>
  <c r="E62" i="1"/>
  <c r="F62" i="1"/>
  <c r="G62" i="1"/>
  <c r="R62" i="1" s="1"/>
  <c r="E61" i="1"/>
  <c r="F61" i="1"/>
  <c r="G61" i="1"/>
  <c r="R61" i="1" s="1"/>
  <c r="E104" i="1"/>
  <c r="F104" i="1"/>
  <c r="G104" i="1"/>
  <c r="K104" i="1" s="1"/>
  <c r="E73" i="2"/>
  <c r="E32" i="2"/>
  <c r="R104" i="1"/>
  <c r="I27" i="1"/>
  <c r="R50" i="1"/>
  <c r="I50" i="1"/>
  <c r="K102" i="1"/>
  <c r="I56" i="1"/>
  <c r="R56" i="1"/>
  <c r="S44" i="1"/>
  <c r="R63" i="1"/>
  <c r="R52" i="1"/>
  <c r="I52" i="1"/>
  <c r="R46" i="1"/>
  <c r="R54" i="1"/>
  <c r="E97" i="1"/>
  <c r="F97" i="1"/>
  <c r="G97" i="1"/>
  <c r="K97" i="1" s="1"/>
  <c r="E99" i="1"/>
  <c r="F99" i="1" s="1"/>
  <c r="G99" i="1" s="1"/>
  <c r="R97" i="1"/>
  <c r="R99" i="1" l="1"/>
  <c r="K99" i="1"/>
  <c r="S65" i="1"/>
  <c r="I65" i="1"/>
  <c r="I48" i="1"/>
  <c r="R48" i="1"/>
  <c r="R67" i="1"/>
  <c r="K67" i="1"/>
  <c r="I39" i="1"/>
  <c r="S39" i="1"/>
  <c r="R38" i="1"/>
  <c r="I38" i="1"/>
  <c r="K62" i="1"/>
  <c r="E27" i="2"/>
  <c r="K61" i="1"/>
  <c r="R93" i="1"/>
  <c r="R24" i="1"/>
  <c r="E16" i="2"/>
  <c r="E81" i="2"/>
  <c r="S83" i="1"/>
  <c r="S53" i="1"/>
  <c r="S21" i="1"/>
  <c r="E17" i="2"/>
  <c r="R87" i="1"/>
  <c r="I42" i="1"/>
  <c r="E55" i="2"/>
  <c r="E13" i="2"/>
  <c r="K59" i="1"/>
  <c r="I41" i="1"/>
  <c r="S68" i="1"/>
  <c r="S37" i="1"/>
  <c r="E35" i="2"/>
  <c r="E84" i="2"/>
  <c r="R51" i="1"/>
  <c r="E14" i="2"/>
  <c r="E90" i="2"/>
  <c r="E34" i="2"/>
  <c r="R49" i="1"/>
  <c r="I49" i="1"/>
  <c r="E36" i="1"/>
  <c r="F36" i="1" s="1"/>
  <c r="G36" i="1" s="1"/>
  <c r="E23" i="1"/>
  <c r="E81" i="1"/>
  <c r="F81" i="1" s="1"/>
  <c r="G81" i="1" s="1"/>
  <c r="E78" i="1"/>
  <c r="F78" i="1" s="1"/>
  <c r="G78" i="1" s="1"/>
  <c r="E70" i="1"/>
  <c r="F70" i="1" s="1"/>
  <c r="G70" i="1" s="1"/>
  <c r="E88" i="1"/>
  <c r="F88" i="1" s="1"/>
  <c r="G88" i="1" s="1"/>
  <c r="E33" i="1"/>
  <c r="F33" i="1" s="1"/>
  <c r="G33" i="1" s="1"/>
  <c r="E106" i="1"/>
  <c r="F106" i="1" s="1"/>
  <c r="G106" i="1" s="1"/>
  <c r="E98" i="1"/>
  <c r="F98" i="1" s="1"/>
  <c r="G98" i="1" s="1"/>
  <c r="E91" i="1"/>
  <c r="F91" i="1" s="1"/>
  <c r="G91" i="1" s="1"/>
  <c r="E74" i="1"/>
  <c r="F74" i="1" s="1"/>
  <c r="G74" i="1" s="1"/>
  <c r="E72" i="1"/>
  <c r="F72" i="1" s="1"/>
  <c r="G72" i="1" s="1"/>
  <c r="E30" i="1"/>
  <c r="F30" i="1" s="1"/>
  <c r="G30" i="1" s="1"/>
  <c r="E103" i="1"/>
  <c r="F103" i="1" s="1"/>
  <c r="G103" i="1" s="1"/>
  <c r="E92" i="1"/>
  <c r="F92" i="1" s="1"/>
  <c r="G92" i="1" s="1"/>
  <c r="E86" i="1"/>
  <c r="F86" i="1" s="1"/>
  <c r="G86" i="1" s="1"/>
  <c r="E69" i="1"/>
  <c r="F69" i="1" s="1"/>
  <c r="G69" i="1" s="1"/>
  <c r="E35" i="1"/>
  <c r="F35" i="1" s="1"/>
  <c r="G35" i="1" s="1"/>
  <c r="E22" i="1"/>
  <c r="F22" i="1" s="1"/>
  <c r="E76" i="1"/>
  <c r="F76" i="1" s="1"/>
  <c r="G76" i="1" s="1"/>
  <c r="E77" i="1"/>
  <c r="E32" i="1"/>
  <c r="F32" i="1" s="1"/>
  <c r="G32" i="1" s="1"/>
  <c r="E101" i="1"/>
  <c r="F101" i="1" s="1"/>
  <c r="G101" i="1" s="1"/>
  <c r="E94" i="1"/>
  <c r="F94" i="1" s="1"/>
  <c r="G94" i="1" s="1"/>
  <c r="E89" i="1"/>
  <c r="F89" i="1" s="1"/>
  <c r="G89" i="1" s="1"/>
  <c r="E73" i="1"/>
  <c r="F73" i="1" s="1"/>
  <c r="G73" i="1" s="1"/>
  <c r="E71" i="1"/>
  <c r="F71" i="1" s="1"/>
  <c r="G71" i="1" s="1"/>
  <c r="I32" i="1" l="1"/>
  <c r="S32" i="1"/>
  <c r="K103" i="1"/>
  <c r="S103" i="1"/>
  <c r="K88" i="1"/>
  <c r="R88" i="1"/>
  <c r="E31" i="2"/>
  <c r="E49" i="2"/>
  <c r="E15" i="2"/>
  <c r="I33" i="1"/>
  <c r="S33" i="1"/>
  <c r="F77" i="1"/>
  <c r="G77" i="1" s="1"/>
  <c r="E23" i="2"/>
  <c r="I30" i="1"/>
  <c r="S30" i="1"/>
  <c r="K70" i="1"/>
  <c r="S70" i="1"/>
  <c r="E18" i="2"/>
  <c r="E25" i="2"/>
  <c r="E45" i="2"/>
  <c r="R101" i="1"/>
  <c r="K101" i="1"/>
  <c r="K76" i="1"/>
  <c r="S76" i="1"/>
  <c r="K72" i="1"/>
  <c r="R72" i="1"/>
  <c r="J78" i="1"/>
  <c r="R78" i="1"/>
  <c r="E46" i="2"/>
  <c r="E19" i="2"/>
  <c r="E80" i="2"/>
  <c r="S71" i="1"/>
  <c r="K71" i="1"/>
  <c r="G22" i="1"/>
  <c r="S74" i="1"/>
  <c r="K74" i="1"/>
  <c r="R81" i="1"/>
  <c r="K81" i="1"/>
  <c r="E36" i="2"/>
  <c r="E29" i="2"/>
  <c r="S92" i="1"/>
  <c r="K92" i="1"/>
  <c r="K73" i="1"/>
  <c r="R73" i="1"/>
  <c r="S35" i="1"/>
  <c r="I35" i="1"/>
  <c r="R91" i="1"/>
  <c r="K91" i="1"/>
  <c r="E37" i="2"/>
  <c r="F23" i="1"/>
  <c r="E48" i="2"/>
  <c r="E87" i="2"/>
  <c r="K89" i="1"/>
  <c r="R89" i="1"/>
  <c r="K69" i="1"/>
  <c r="R69" i="1"/>
  <c r="K98" i="1"/>
  <c r="S98" i="1"/>
  <c r="I36" i="1"/>
  <c r="S36" i="1"/>
  <c r="E85" i="2"/>
  <c r="S94" i="1"/>
  <c r="K94" i="1"/>
  <c r="K86" i="1"/>
  <c r="R86" i="1"/>
  <c r="S106" i="1"/>
  <c r="K106" i="1"/>
  <c r="E20" i="2"/>
  <c r="E82" i="2"/>
  <c r="E22" i="2"/>
  <c r="E43" i="2"/>
  <c r="J77" i="1" l="1"/>
  <c r="R77" i="1"/>
  <c r="G23" i="1"/>
  <c r="I22" i="1"/>
  <c r="S22" i="1"/>
  <c r="C11" i="1"/>
  <c r="C12" i="1"/>
  <c r="O107" i="1" l="1"/>
  <c r="C16" i="1"/>
  <c r="D18" i="1" s="1"/>
  <c r="O49" i="1"/>
  <c r="O75" i="1"/>
  <c r="O23" i="1"/>
  <c r="O55" i="1"/>
  <c r="O29" i="1"/>
  <c r="O38" i="1"/>
  <c r="O53" i="1"/>
  <c r="O100" i="1"/>
  <c r="O36" i="1"/>
  <c r="O59" i="1"/>
  <c r="O80" i="1"/>
  <c r="O86" i="1"/>
  <c r="O62" i="1"/>
  <c r="O99" i="1"/>
  <c r="O41" i="1"/>
  <c r="O96" i="1"/>
  <c r="O93" i="1"/>
  <c r="O47" i="1"/>
  <c r="O78" i="1"/>
  <c r="O30" i="1"/>
  <c r="O37" i="1"/>
  <c r="O88" i="1"/>
  <c r="O27" i="1"/>
  <c r="O51" i="1"/>
  <c r="O91" i="1"/>
  <c r="O33" i="1"/>
  <c r="O64" i="1"/>
  <c r="O72" i="1"/>
  <c r="O39" i="1"/>
  <c r="O34" i="1"/>
  <c r="O21" i="1"/>
  <c r="O106" i="1"/>
  <c r="O50" i="1"/>
  <c r="O104" i="1"/>
  <c r="O43" i="1"/>
  <c r="O24" i="1"/>
  <c r="O69" i="1"/>
  <c r="O101" i="1"/>
  <c r="O31" i="1"/>
  <c r="O90" i="1"/>
  <c r="O87" i="1"/>
  <c r="O61" i="1"/>
  <c r="O84" i="1"/>
  <c r="O83" i="1"/>
  <c r="O35" i="1"/>
  <c r="O40" i="1"/>
  <c r="O85" i="1"/>
  <c r="C15" i="1"/>
  <c r="O97" i="1"/>
  <c r="O77" i="1"/>
  <c r="O56" i="1"/>
  <c r="O79" i="1"/>
  <c r="O22" i="1"/>
  <c r="O105" i="1"/>
  <c r="O68" i="1"/>
  <c r="O60" i="1"/>
  <c r="O102" i="1"/>
  <c r="O65" i="1"/>
  <c r="O26" i="1"/>
  <c r="O71" i="1"/>
  <c r="O70" i="1"/>
  <c r="O52" i="1"/>
  <c r="O66" i="1"/>
  <c r="O76" i="1"/>
  <c r="O48" i="1"/>
  <c r="O95" i="1"/>
  <c r="O92" i="1"/>
  <c r="O63" i="1"/>
  <c r="O73" i="1"/>
  <c r="O42" i="1"/>
  <c r="O89" i="1"/>
  <c r="O25" i="1"/>
  <c r="O103" i="1"/>
  <c r="O57" i="1"/>
  <c r="O58" i="1"/>
  <c r="O32" i="1"/>
  <c r="O67" i="1"/>
  <c r="O81" i="1"/>
  <c r="O46" i="1"/>
  <c r="O94" i="1"/>
  <c r="O45" i="1"/>
  <c r="O44" i="1"/>
  <c r="O74" i="1"/>
  <c r="O98" i="1"/>
  <c r="O54" i="1"/>
  <c r="O82" i="1"/>
  <c r="I23" i="1"/>
  <c r="S23" i="1"/>
  <c r="R19" i="1"/>
  <c r="E18" i="1" s="1"/>
  <c r="D11" i="1"/>
  <c r="D12" i="1"/>
  <c r="P107" i="1" l="1"/>
  <c r="D16" i="1"/>
  <c r="D19" i="1" s="1"/>
  <c r="P90" i="1"/>
  <c r="P92" i="1"/>
  <c r="P43" i="1"/>
  <c r="P58" i="1"/>
  <c r="P77" i="1"/>
  <c r="P62" i="1"/>
  <c r="P61" i="1"/>
  <c r="P95" i="1"/>
  <c r="P39" i="1"/>
  <c r="P96" i="1"/>
  <c r="P71" i="1"/>
  <c r="D15" i="1"/>
  <c r="C19" i="1" s="1"/>
  <c r="P27" i="1"/>
  <c r="P78" i="1"/>
  <c r="P60" i="1"/>
  <c r="P105" i="1"/>
  <c r="P88" i="1"/>
  <c r="P35" i="1"/>
  <c r="P50" i="1"/>
  <c r="P82" i="1"/>
  <c r="P37" i="1"/>
  <c r="P56" i="1"/>
  <c r="P29" i="1"/>
  <c r="P31" i="1"/>
  <c r="P64" i="1"/>
  <c r="P65" i="1"/>
  <c r="P89" i="1"/>
  <c r="P53" i="1"/>
  <c r="P26" i="1"/>
  <c r="P42" i="1"/>
  <c r="P76" i="1"/>
  <c r="P57" i="1"/>
  <c r="P48" i="1"/>
  <c r="P86" i="1"/>
  <c r="P22" i="1"/>
  <c r="P72" i="1"/>
  <c r="P103" i="1"/>
  <c r="P52" i="1"/>
  <c r="P93" i="1"/>
  <c r="P81" i="1"/>
  <c r="P34" i="1"/>
  <c r="P49" i="1"/>
  <c r="P24" i="1"/>
  <c r="P40" i="1"/>
  <c r="P69" i="1"/>
  <c r="P67" i="1"/>
  <c r="P54" i="1"/>
  <c r="P45" i="1"/>
  <c r="P99" i="1"/>
  <c r="P70" i="1"/>
  <c r="P44" i="1"/>
  <c r="P85" i="1"/>
  <c r="P87" i="1"/>
  <c r="P25" i="1"/>
  <c r="P41" i="1"/>
  <c r="P106" i="1"/>
  <c r="P32" i="1"/>
  <c r="P66" i="1"/>
  <c r="P79" i="1"/>
  <c r="P46" i="1"/>
  <c r="P59" i="1"/>
  <c r="P55" i="1"/>
  <c r="P97" i="1"/>
  <c r="P36" i="1"/>
  <c r="P100" i="1"/>
  <c r="P75" i="1"/>
  <c r="P73" i="1"/>
  <c r="P33" i="1"/>
  <c r="P91" i="1"/>
  <c r="P23" i="1"/>
  <c r="P68" i="1"/>
  <c r="P94" i="1"/>
  <c r="P38" i="1"/>
  <c r="P101" i="1"/>
  <c r="P51" i="1"/>
  <c r="P83" i="1"/>
  <c r="P98" i="1"/>
  <c r="P102" i="1"/>
  <c r="P80" i="1"/>
  <c r="P74" i="1"/>
  <c r="P47" i="1"/>
  <c r="P104" i="1"/>
  <c r="P21" i="1"/>
  <c r="P84" i="1"/>
  <c r="P63" i="1"/>
  <c r="P30" i="1"/>
  <c r="C18" i="1"/>
  <c r="G15" i="1"/>
  <c r="G16" i="1" s="1"/>
  <c r="S19" i="1"/>
  <c r="E19" i="1" s="1"/>
</calcChain>
</file>

<file path=xl/sharedStrings.xml><?xml version="1.0" encoding="utf-8"?>
<sst xmlns="http://schemas.openxmlformats.org/spreadsheetml/2006/main" count="912" uniqueCount="383">
  <si>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</si>
  <si>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</si>
  <si>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</si>
  <si>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</si>
  <si>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</si>
  <si>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</si>
  <si>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</si>
  <si>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</si>
  <si>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</si>
  <si>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</si>
  <si>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</si>
  <si>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</si>
  <si>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</si>
  <si>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</si>
  <si>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LS Intercept =</t>
  </si>
  <si>
    <t>LS Slope =</t>
  </si>
  <si>
    <t>New epoch =</t>
  </si>
  <si>
    <t>System Type:</t>
  </si>
  <si>
    <t>S4</t>
  </si>
  <si>
    <t>S5</t>
  </si>
  <si>
    <t>Misc</t>
  </si>
  <si>
    <t>Diethelm R</t>
  </si>
  <si>
    <t>BBSAG Bull.109</t>
  </si>
  <si>
    <t>B</t>
  </si>
  <si>
    <t>BBSAG Bull.115</t>
  </si>
  <si>
    <t>BBSAG Bull.118</t>
  </si>
  <si>
    <t>II</t>
  </si>
  <si>
    <t>IBVS 4555</t>
  </si>
  <si>
    <t>V1136 Cyg / GSC 2150-3565</t>
  </si>
  <si>
    <t>IBVS 5670</t>
  </si>
  <si>
    <t>I</t>
  </si>
  <si>
    <t>Eccentric orbit</t>
  </si>
  <si>
    <t>Primary</t>
  </si>
  <si>
    <t>Secondary</t>
  </si>
  <si>
    <t>Pri. Fit</t>
  </si>
  <si>
    <t>Sec. Fit</t>
  </si>
  <si>
    <t>`</t>
  </si>
  <si>
    <t>IBVS 5731</t>
  </si>
  <si>
    <t>IBVS 5713</t>
  </si>
  <si>
    <t>EA</t>
  </si>
  <si>
    <t>IBVS 5745</t>
  </si>
  <si>
    <t>IBVS 5764</t>
  </si>
  <si>
    <t>Start of Lin fit (row)</t>
  </si>
  <si>
    <t>Start cell (x)</t>
  </si>
  <si>
    <t>Start cell (y)</t>
  </si>
  <si>
    <t># of data points =</t>
  </si>
  <si>
    <t>Prim. Ephem. =</t>
  </si>
  <si>
    <t>Sec. Ephem. =</t>
  </si>
  <si>
    <t>IBVS 5910</t>
  </si>
  <si>
    <t>IBVS 5933</t>
  </si>
  <si>
    <t>IBVS 6029</t>
  </si>
  <si>
    <t>IBVS 6046</t>
  </si>
  <si>
    <t>OEJV 0160</t>
  </si>
  <si>
    <t>IBVS 6093</t>
  </si>
  <si>
    <t>IBVS 6098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</si>
  <si>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</si>
  <si>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</si>
  <si>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</si>
  <si>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</si>
  <si>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</si>
  <si>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</si>
  <si>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</si>
  <si>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</si>
  <si>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</si>
  <si>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</si>
  <si>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</si>
  <si>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</si>
  <si>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2432761.490 </t>
  </si>
  <si>
    <t> 28.07.1948 23:45 </t>
  </si>
  <si>
    <t> 0.200 </t>
  </si>
  <si>
    <t>P </t>
  </si>
  <si>
    <t> A.A.Wachmann </t>
  </si>
  <si>
    <t> AHSB 6.4.316 </t>
  </si>
  <si>
    <t>2432775.420 </t>
  </si>
  <si>
    <t> 11.08.1948 22:04 </t>
  </si>
  <si>
    <t> 0.279 </t>
  </si>
  <si>
    <t> Bossen &amp; Klawitter </t>
  </si>
  <si>
    <t> AA 22.414 </t>
  </si>
  <si>
    <t>2432827.290 </t>
  </si>
  <si>
    <t> 02.10.1948 18:57 </t>
  </si>
  <si>
    <t> 0.207 </t>
  </si>
  <si>
    <t>2433538.320 </t>
  </si>
  <si>
    <t> 13.09.1950 19:40 </t>
  </si>
  <si>
    <t> -0.005 </t>
  </si>
  <si>
    <t>2433891.455 </t>
  </si>
  <si>
    <t> 01.09.1951 22:55 </t>
  </si>
  <si>
    <t> -0.073 </t>
  </si>
  <si>
    <t>2434122.475 </t>
  </si>
  <si>
    <t> 19.04.1952 23:24 </t>
  </si>
  <si>
    <t> 0.318 </t>
  </si>
  <si>
    <t>2434601.387 </t>
  </si>
  <si>
    <t> 11.08.1953 21:17 </t>
  </si>
  <si>
    <t> -0.008 </t>
  </si>
  <si>
    <t>2435453.250 </t>
  </si>
  <si>
    <t> 11.12.1955 18:00 </t>
  </si>
  <si>
    <t> 0.015 </t>
  </si>
  <si>
    <t>2435694.525 </t>
  </si>
  <si>
    <t> 09.08.1956 00:36 </t>
  </si>
  <si>
    <t> 0.272 </t>
  </si>
  <si>
    <t> H.Busch </t>
  </si>
  <si>
    <t> MHAR 10.8 </t>
  </si>
  <si>
    <t>2436127.321 </t>
  </si>
  <si>
    <t> 15.10.1957 19:42 </t>
  </si>
  <si>
    <t> 0.222 </t>
  </si>
  <si>
    <t>2436757.523 </t>
  </si>
  <si>
    <t> 08.07.1959 00:33 </t>
  </si>
  <si>
    <t> 0.201 </t>
  </si>
  <si>
    <t>2436809.500 </t>
  </si>
  <si>
    <t> 29.08.1959 00:00 </t>
  </si>
  <si>
    <t> 0.236 </t>
  </si>
  <si>
    <t>2436816.418 </t>
  </si>
  <si>
    <t> 04.09.1959 22:01 </t>
  </si>
  <si>
    <t> 0.229 </t>
  </si>
  <si>
    <t>2436816.426 </t>
  </si>
  <si>
    <t> 04.09.1959 22:13 </t>
  </si>
  <si>
    <t> 0.237 </t>
  </si>
  <si>
    <t>2436816.431 </t>
  </si>
  <si>
    <t> 04.09.1959 22:20 </t>
  </si>
  <si>
    <t> 0.242 </t>
  </si>
  <si>
    <t>2436816.440 </t>
  </si>
  <si>
    <t> 04.09.1959 22:33 </t>
  </si>
  <si>
    <t> 0.251 </t>
  </si>
  <si>
    <t>2436817.546 </t>
  </si>
  <si>
    <t> 06.09.1959 01:06 </t>
  </si>
  <si>
    <t> -0.019 </t>
  </si>
  <si>
    <t>2436868.381 </t>
  </si>
  <si>
    <t> 26.10.1959 21:08 </t>
  </si>
  <si>
    <t> 0.250 </t>
  </si>
  <si>
    <t>2436875.273 </t>
  </si>
  <si>
    <t> 02.11.1959 18:33 </t>
  </si>
  <si>
    <t> 0.217 </t>
  </si>
  <si>
    <t>2437146.527 </t>
  </si>
  <si>
    <t> 31.07.1960 00:38 </t>
  </si>
  <si>
    <t> -0.001 </t>
  </si>
  <si>
    <t>2437160.385 </t>
  </si>
  <si>
    <t> 13.08.1960 21:14 </t>
  </si>
  <si>
    <t> 0.006 </t>
  </si>
  <si>
    <t>2437190.370 </t>
  </si>
  <si>
    <t> 12.09.1960 20:52 </t>
  </si>
  <si>
    <t> 0.202 </t>
  </si>
  <si>
    <t>2437249.299 </t>
  </si>
  <si>
    <t> 10.11.1960 19:10 </t>
  </si>
  <si>
    <t> 0.264 </t>
  </si>
  <si>
    <t>2437579.377 </t>
  </si>
  <si>
    <t> 06.10.1961 21:02 </t>
  </si>
  <si>
    <t> 0.004 </t>
  </si>
  <si>
    <t>2437579.379 </t>
  </si>
  <si>
    <t> 06.10.1961 21:05 </t>
  </si>
  <si>
    <t>2437886.443 </t>
  </si>
  <si>
    <t> 09.08.1962 22:37 </t>
  </si>
  <si>
    <t> 0.259 </t>
  </si>
  <si>
    <t>2437908.335 </t>
  </si>
  <si>
    <t> 31.08.1962 20:02 </t>
  </si>
  <si>
    <t>2437960.294 </t>
  </si>
  <si>
    <t> 22.10.1962 19:03 </t>
  </si>
  <si>
    <t> 0.016 </t>
  </si>
  <si>
    <t>2438268.454 </t>
  </si>
  <si>
    <t> 26.08.1963 22:53 </t>
  </si>
  <si>
    <t> -0.010 </t>
  </si>
  <si>
    <t>2438642.418 </t>
  </si>
  <si>
    <t> 03.09.1964 22:01 </t>
  </si>
  <si>
    <t> -0.024 </t>
  </si>
  <si>
    <t>2438642.428 </t>
  </si>
  <si>
    <t> 03.09.1964 22:16 </t>
  </si>
  <si>
    <t> -0.014 </t>
  </si>
  <si>
    <t>2438831.660 </t>
  </si>
  <si>
    <t> 12.03.1965 03:50 </t>
  </si>
  <si>
    <t> 0.141 </t>
  </si>
  <si>
    <t>2439286.499 </t>
  </si>
  <si>
    <t> 09.06.1966 23:58 </t>
  </si>
  <si>
    <t> -0.018 </t>
  </si>
  <si>
    <t>2439382.357 </t>
  </si>
  <si>
    <t> 13.09.1966 20:34 </t>
  </si>
  <si>
    <t> 0.258 </t>
  </si>
  <si>
    <t>2439404.293 </t>
  </si>
  <si>
    <t> 05.10.1966 19:01 </t>
  </si>
  <si>
    <t> 0.042 </t>
  </si>
  <si>
    <t>2440145.327 </t>
  </si>
  <si>
    <t> 15.10.1968 19:50 </t>
  </si>
  <si>
    <t> 0.044 </t>
  </si>
  <si>
    <t>2441179.421 </t>
  </si>
  <si>
    <t> 15.08.1971 22:06 </t>
  </si>
  <si>
    <t> 0.146 </t>
  </si>
  <si>
    <t>2447763.414 </t>
  </si>
  <si>
    <t> 24.08.1989 21:56 </t>
  </si>
  <si>
    <t> 0.046 </t>
  </si>
  <si>
    <t> P.Frank </t>
  </si>
  <si>
    <t>BAVM 60 </t>
  </si>
  <si>
    <t>2449896.4879 </t>
  </si>
  <si>
    <t> 27.06.1995 23:42 </t>
  </si>
  <si>
    <t> 0.0559 </t>
  </si>
  <si>
    <t>E </t>
  </si>
  <si>
    <t>?</t>
  </si>
  <si>
    <t> R.Diethelm </t>
  </si>
  <si>
    <t> BBS 109 </t>
  </si>
  <si>
    <t>2450270.4694 </t>
  </si>
  <si>
    <t> 05.07.1996 23:15 </t>
  </si>
  <si>
    <t> 0.0587 </t>
  </si>
  <si>
    <t> I.Biro </t>
  </si>
  <si>
    <t>IBVS 4555/4653 </t>
  </si>
  <si>
    <t>2450599.4321 </t>
  </si>
  <si>
    <t> 30.05.1997 22:22 </t>
  </si>
  <si>
    <t> 0.0586 </t>
  </si>
  <si>
    <t> BBS 115 </t>
  </si>
  <si>
    <t>2451034.3929 </t>
  </si>
  <si>
    <t> 08.08.1998 21:25 </t>
  </si>
  <si>
    <t> 0.0863 </t>
  </si>
  <si>
    <t> BBS 118 </t>
  </si>
  <si>
    <t>2451714.4474 </t>
  </si>
  <si>
    <t> 18.06.2000 22:44 </t>
  </si>
  <si>
    <t> 0.0633 </t>
  </si>
  <si>
    <t> BBS 123 </t>
  </si>
  <si>
    <t>2453497.7828 </t>
  </si>
  <si>
    <t> 07.05.2005 06:47 </t>
  </si>
  <si>
    <t> 0.0742 </t>
  </si>
  <si>
    <t> C.Lacy </t>
  </si>
  <si>
    <t>IBVS 5670 </t>
  </si>
  <si>
    <t>2453499.8513 </t>
  </si>
  <si>
    <t> 09.05.2005 08:25 </t>
  </si>
  <si>
    <t> 0.0553 </t>
  </si>
  <si>
    <t>2453542.7988 </t>
  </si>
  <si>
    <t> 21.06.2005 07:10 </t>
  </si>
  <si>
    <t>2453544.8553 </t>
  </si>
  <si>
    <t> 23.06.2005 08:31 </t>
  </si>
  <si>
    <t> 0.0434 </t>
  </si>
  <si>
    <t>2453558.7145 </t>
  </si>
  <si>
    <t> 07.07.2005 05:08 </t>
  </si>
  <si>
    <t> 0.0515 </t>
  </si>
  <si>
    <t>2453580.8838 </t>
  </si>
  <si>
    <t> 29.07.2005 09:12 </t>
  </si>
  <si>
    <t> 0.0688 </t>
  </si>
  <si>
    <t>2453594.7403 </t>
  </si>
  <si>
    <t> 12.08.2005 05:46 </t>
  </si>
  <si>
    <t> Smith &amp; Caton </t>
  </si>
  <si>
    <t>IBVS 5745 </t>
  </si>
  <si>
    <t>2453603.7318 </t>
  </si>
  <si>
    <t> 21.08.2005 05:33 </t>
  </si>
  <si>
    <t> 0.0528 </t>
  </si>
  <si>
    <t>2453866.9000 </t>
  </si>
  <si>
    <t> 11.05.2006 09:36 </t>
  </si>
  <si>
    <t> 0.0508 </t>
  </si>
  <si>
    <t>C </t>
  </si>
  <si>
    <t>IBVS 5764 </t>
  </si>
  <si>
    <t>2453873.8239 </t>
  </si>
  <si>
    <t> 18.05.2006 07:46 </t>
  </si>
  <si>
    <t> 0.0492 </t>
  </si>
  <si>
    <t>2453899.4658 </t>
  </si>
  <si>
    <t> 12.06.2006 23:10 </t>
  </si>
  <si>
    <t> 0.0763 </t>
  </si>
  <si>
    <t>-I</t>
  </si>
  <si>
    <t> F.Agerer </t>
  </si>
  <si>
    <t>BAVM 178 </t>
  </si>
  <si>
    <t>2453899.4669 </t>
  </si>
  <si>
    <t> 12.06.2006 23:12 </t>
  </si>
  <si>
    <t>5327</t>
  </si>
  <si>
    <t> 0.0774 </t>
  </si>
  <si>
    <t>IBVS 5713 </t>
  </si>
  <si>
    <t>2454365.5417 </t>
  </si>
  <si>
    <t> 22.09.2007 01:00 </t>
  </si>
  <si>
    <t>5461.5</t>
  </si>
  <si>
    <t> 0.0542 </t>
  </si>
  <si>
    <t>BAVM 193 </t>
  </si>
  <si>
    <t>2454612.7989 </t>
  </si>
  <si>
    <t> 26.05.2008 07:10 </t>
  </si>
  <si>
    <t>5533</t>
  </si>
  <si>
    <t> 0.0796 </t>
  </si>
  <si>
    <t>IBVS 5910 </t>
  </si>
  <si>
    <t>2454685.5173 </t>
  </si>
  <si>
    <t> 07.08.2008 00:24 </t>
  </si>
  <si>
    <t>5554</t>
  </si>
  <si>
    <t> 0.0799 </t>
  </si>
  <si>
    <t>BAVM 203 </t>
  </si>
  <si>
    <t>2454978.4275 </t>
  </si>
  <si>
    <t> 26.05.2009 22:15 </t>
  </si>
  <si>
    <t>5638.5</t>
  </si>
  <si>
    <t> 0.0304 </t>
  </si>
  <si>
    <t> S.Kleidis </t>
  </si>
  <si>
    <t>IBVS 5933 </t>
  </si>
  <si>
    <t>2455066.4248 </t>
  </si>
  <si>
    <t> 22.08.2009 22:11 </t>
  </si>
  <si>
    <t>5664</t>
  </si>
  <si>
    <t> 0.0832 </t>
  </si>
  <si>
    <t>BAVM 212 </t>
  </si>
  <si>
    <t>2455068.4650 </t>
  </si>
  <si>
    <t> 24.08.2009 23:09 </t>
  </si>
  <si>
    <t>5664.5</t>
  </si>
  <si>
    <t> 0.0360 </t>
  </si>
  <si>
    <t>2455301.8923 </t>
  </si>
  <si>
    <t> 15.04.2010 09:24 </t>
  </si>
  <si>
    <t>5732</t>
  </si>
  <si>
    <t> 0.0826 </t>
  </si>
  <si>
    <t>IBVS 5972 </t>
  </si>
  <si>
    <t>2455301.8943 </t>
  </si>
  <si>
    <t> 15.04.2010 09:27 </t>
  </si>
  <si>
    <t> 0.0846 </t>
  </si>
  <si>
    <t>2455360.7606 </t>
  </si>
  <si>
    <t> 13.06.2010 06:15 </t>
  </si>
  <si>
    <t>5749</t>
  </si>
  <si>
    <t> 0.0839 </t>
  </si>
  <si>
    <t>2455362.7981 </t>
  </si>
  <si>
    <t> 15.06.2010 07:09 </t>
  </si>
  <si>
    <t>5749.5</t>
  </si>
  <si>
    <t> 0.0340 </t>
  </si>
  <si>
    <t>2455457.7170 </t>
  </si>
  <si>
    <t> 18.09.2010 05:12 </t>
  </si>
  <si>
    <t>5777</t>
  </si>
  <si>
    <t> 0.0828 </t>
  </si>
  <si>
    <t>2455466.6732 </t>
  </si>
  <si>
    <t> 27.09.2010 04:09 </t>
  </si>
  <si>
    <t>5779.5</t>
  </si>
  <si>
    <t> 0.0261 </t>
  </si>
  <si>
    <t>2455710.5024 </t>
  </si>
  <si>
    <t> 29.05.2011 00:03 </t>
  </si>
  <si>
    <t>5850</t>
  </si>
  <si>
    <t>BAVM 220 </t>
  </si>
  <si>
    <t>2455722.9106 </t>
  </si>
  <si>
    <t> 10.06.2011 09:51 </t>
  </si>
  <si>
    <t>5853.5</t>
  </si>
  <si>
    <t> 0.0188 </t>
  </si>
  <si>
    <t>IBVS 6014 </t>
  </si>
  <si>
    <t>2455727.8154 </t>
  </si>
  <si>
    <t> 15.06.2011 07:34 </t>
  </si>
  <si>
    <t>5855</t>
  </si>
  <si>
    <t> 0.0855 </t>
  </si>
  <si>
    <t>IBVS 5992 </t>
  </si>
  <si>
    <t>2455736.7660 </t>
  </si>
  <si>
    <t> 24.06.2011 06:23 </t>
  </si>
  <si>
    <t>5857.5</t>
  </si>
  <si>
    <t> 0.0232 </t>
  </si>
  <si>
    <t>2455833.7128 </t>
  </si>
  <si>
    <t> 29.09.2011 05:06 </t>
  </si>
  <si>
    <t>5885.5</t>
  </si>
  <si>
    <t> 0.0125 </t>
  </si>
  <si>
    <t>2455852.4754 </t>
  </si>
  <si>
    <t> 17.10.2011 23:24 </t>
  </si>
  <si>
    <t>5891</t>
  </si>
  <si>
    <t> 0.0859 </t>
  </si>
  <si>
    <t>R</t>
  </si>
  <si>
    <t> H.Ku?akova </t>
  </si>
  <si>
    <t>OEJV 0160 </t>
  </si>
  <si>
    <t>2456042.9316 </t>
  </si>
  <si>
    <t> 25.04.2012 10:21 </t>
  </si>
  <si>
    <t>5946</t>
  </si>
  <si>
    <t> 0.0900 </t>
  </si>
  <si>
    <t>IBVS 6046 </t>
  </si>
  <si>
    <t>2456049.8544 </t>
  </si>
  <si>
    <t> 02.05.2012 08:30 </t>
  </si>
  <si>
    <t>5948</t>
  </si>
  <si>
    <t> 0.0872 </t>
  </si>
  <si>
    <t>2456049.8564 </t>
  </si>
  <si>
    <t> 02.05.2012 08:33 </t>
  </si>
  <si>
    <t> 0.0892 </t>
  </si>
  <si>
    <t>IBVS 6029 </t>
  </si>
  <si>
    <t>2456051.8743 </t>
  </si>
  <si>
    <t> 04.05.2012 08:58 </t>
  </si>
  <si>
    <t>5948.5</t>
  </si>
  <si>
    <t> 0.0198 </t>
  </si>
  <si>
    <t>2456181.4403 </t>
  </si>
  <si>
    <t> 10.09.2012 22:34 </t>
  </si>
  <si>
    <t>5986</t>
  </si>
  <si>
    <t> 0.0880 </t>
  </si>
  <si>
    <t> M.Lehky </t>
  </si>
  <si>
    <t>2456366.9813 </t>
  </si>
  <si>
    <t> 15.03.2013 11:33 </t>
  </si>
  <si>
    <t>6039.5</t>
  </si>
  <si>
    <t> 0.0151 </t>
  </si>
  <si>
    <t>IBVS 6098 </t>
  </si>
  <si>
    <t>2456453.5311 </t>
  </si>
  <si>
    <t> 10.06.2013 00:44 </t>
  </si>
  <si>
    <t>6064.5</t>
  </si>
  <si>
    <t> -0.0043 </t>
  </si>
  <si>
    <t>IBVS 6093 </t>
  </si>
  <si>
    <t>IBVS 5972</t>
  </si>
  <si>
    <t>IBVS 6014</t>
  </si>
  <si>
    <t>IBVS 6230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</si>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</sst>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9" fillId="0" borderId="1" applyNumberFormat="0" applyFont="0" applyFill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0" borderId="0" xfId="0" applyAlignment="1">
      <alignment vertical="center"/>
    </xf>
    <xf numFmtId="0" fontId="7" fillId="0" borderId="4" xfId="0" applyFont="1" applyFill="1" applyBorder="1" applyAlignment="1">
      <alignment horizontal="center"/>
    </xf>
    <xf numFmtId="0" fontId="12" fillId="0" borderId="0" xfId="0" applyFont="1" applyAlignment="1"/>
    <xf numFmtId="0" fontId="0" fillId="0" borderId="0" xfId="0">
      <alignment vertical="top"/>
    </xf>
    <xf numFmtId="0" fontId="5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8" applyFont="1" applyAlignment="1">
      <alignment horizontal="left" vertical="center" wrapText="1"/>
    </xf>
    <xf numFmtId="0" fontId="22" fillId="0" borderId="0" xfId="8" applyFont="1" applyAlignment="1">
      <alignment horizontal="center" vertical="center" wrapText="1"/>
    </xf>
    <xf numFmtId="0" fontId="22" fillId="0" borderId="0" xfId="8" applyFont="1" applyAlignment="1">
      <alignment horizontal="left" wrapText="1"/>
    </xf>
    <xf numFmtId="0" fontId="2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22" fontId="9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22" fillId="0" borderId="0" xfId="0" applyFont="1" applyAlignme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76" fontId="23" fillId="0" borderId="0" xfId="0" applyNumberFormat="1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V1136 Cyg - O-C Diagr.</a:t>
            </a:r>
          </a:p>
        </c:rich>
      </c:tx>
      <c:layout>
        <c:manualLayout>
          <c:xMode val="edge"/>
          <c:yMode val="edge"/>
          <c:x val="0.3634972545609712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6819579194112"/>
          <c:y val="0.14723926380368099"/>
          <c:w val="0.8266877356688970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51-461E-B95C-AA34AF8FD940}"/>
            </c:ext>
          </c:extLst>
        </c:ser>
        <c:ser>
          <c:idx val="1"/>
          <c:order val="1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1E-4</c:v>
                  </c:pt>
                  <c:pt idx="77">
                    <c:v>0</c:v>
                  </c:pt>
                  <c:pt idx="78">
                    <c:v>4.0000000000000002E-4</c:v>
                  </c:pt>
                  <c:pt idx="79">
                    <c:v>1.1000000000000001E-3</c:v>
                  </c:pt>
                  <c:pt idx="80">
                    <c:v>8.9999999999999998E-4</c:v>
                  </c:pt>
                  <c:pt idx="81">
                    <c:v>5.9999999999999995E-4</c:v>
                  </c:pt>
                  <c:pt idx="82">
                    <c:v>1.1000000000000001E-3</c:v>
                  </c:pt>
                  <c:pt idx="83">
                    <c:v>4.0000000000000002E-4</c:v>
                  </c:pt>
                  <c:pt idx="84">
                    <c:v>1.9E-3</c:v>
                  </c:pt>
                  <c:pt idx="85">
                    <c:v>5.9999999999999995E-4</c:v>
                  </c:pt>
                  <c:pt idx="86">
                    <c:v>2.5000000000000001E-3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1E-4</c:v>
                  </c:pt>
                  <c:pt idx="77">
                    <c:v>0</c:v>
                  </c:pt>
                  <c:pt idx="78">
                    <c:v>4.0000000000000002E-4</c:v>
                  </c:pt>
                  <c:pt idx="79">
                    <c:v>1.1000000000000001E-3</c:v>
                  </c:pt>
                  <c:pt idx="80">
                    <c:v>8.9999999999999998E-4</c:v>
                  </c:pt>
                  <c:pt idx="81">
                    <c:v>5.9999999999999995E-4</c:v>
                  </c:pt>
                  <c:pt idx="82">
                    <c:v>1.1000000000000001E-3</c:v>
                  </c:pt>
                  <c:pt idx="83">
                    <c:v>4.0000000000000002E-4</c:v>
                  </c:pt>
                  <c:pt idx="84">
                    <c:v>1.9E-3</c:v>
                  </c:pt>
                  <c:pt idx="85">
                    <c:v>5.9999999999999995E-4</c:v>
                  </c:pt>
                  <c:pt idx="86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3">
                  <c:v>-5.4020000025047921E-3</c:v>
                </c:pt>
                <c:pt idx="4">
                  <c:v>-7.2533999998995569E-2</c:v>
                </c:pt>
                <c:pt idx="6">
                  <c:v>-7.5639999995473772E-3</c:v>
                </c:pt>
                <c:pt idx="8">
                  <c:v>1.4999999999417923E-2</c:v>
                </c:pt>
                <c:pt idx="17">
                  <c:v>-1.8803999999363441E-2</c:v>
                </c:pt>
                <c:pt idx="20">
                  <c:v>-5.7399999786866829E-4</c:v>
                </c:pt>
                <c:pt idx="21">
                  <c:v>6.3620000000810251E-3</c:v>
                </c:pt>
                <c:pt idx="24">
                  <c:v>3.6760000002686866E-3</c:v>
                </c:pt>
                <c:pt idx="25">
                  <c:v>5.6760000006761402E-3</c:v>
                </c:pt>
                <c:pt idx="27">
                  <c:v>-1.0939999992842786E-3</c:v>
                </c:pt>
                <c:pt idx="28">
                  <c:v>1.6415999998571351E-2</c:v>
                </c:pt>
                <c:pt idx="29">
                  <c:v>-9.758000000147149E-3</c:v>
                </c:pt>
                <c:pt idx="30">
                  <c:v>-2.4486000002070796E-2</c:v>
                </c:pt>
                <c:pt idx="31">
                  <c:v>-1.4486000000033528E-2</c:v>
                </c:pt>
                <c:pt idx="33">
                  <c:v>-1.7961999998078682E-2</c:v>
                </c:pt>
                <c:pt idx="35">
                  <c:v>4.1993999999249354E-2</c:v>
                </c:pt>
                <c:pt idx="36">
                  <c:v>4.4069999996281695E-2</c:v>
                </c:pt>
                <c:pt idx="38">
                  <c:v>4.5869999994465616E-2</c:v>
                </c:pt>
                <c:pt idx="39">
                  <c:v>5.5914000004122499E-2</c:v>
                </c:pt>
                <c:pt idx="40">
                  <c:v>5.6486000001314096E-2</c:v>
                </c:pt>
                <c:pt idx="41">
                  <c:v>5.8686000003945082E-2</c:v>
                </c:pt>
                <c:pt idx="42">
                  <c:v>5.8516000004601665E-2</c:v>
                </c:pt>
                <c:pt idx="43">
                  <c:v>5.8616000002075452E-2</c:v>
                </c:pt>
                <c:pt idx="45">
                  <c:v>6.3263999996706843E-2</c:v>
                </c:pt>
                <c:pt idx="46">
                  <c:v>7.417400000122143E-2</c:v>
                </c:pt>
                <c:pt idx="48">
                  <c:v>7.4216000000888016E-2</c:v>
                </c:pt>
                <c:pt idx="51">
                  <c:v>6.8790000004810281E-2</c:v>
                </c:pt>
                <c:pt idx="52">
                  <c:v>7.4225999996997416E-2</c:v>
                </c:pt>
                <c:pt idx="56">
                  <c:v>7.6317999999446329E-2</c:v>
                </c:pt>
                <c:pt idx="57">
                  <c:v>7.6317999999446329E-2</c:v>
                </c:pt>
                <c:pt idx="58">
                  <c:v>7.7418000000761822E-2</c:v>
                </c:pt>
                <c:pt idx="60">
                  <c:v>7.9621999997470994E-2</c:v>
                </c:pt>
                <c:pt idx="61">
                  <c:v>7.9936000001907814E-2</c:v>
                </c:pt>
                <c:pt idx="63">
                  <c:v>8.3176000000094064E-2</c:v>
                </c:pt>
                <c:pt idx="65">
                  <c:v>8.2587999997485895E-2</c:v>
                </c:pt>
                <c:pt idx="66">
                  <c:v>8.4587999997893348E-2</c:v>
                </c:pt>
                <c:pt idx="67">
                  <c:v>8.4296000008180272E-2</c:v>
                </c:pt>
                <c:pt idx="68">
                  <c:v>8.3866000000853091E-2</c:v>
                </c:pt>
                <c:pt idx="70">
                  <c:v>8.2818000002589542E-2</c:v>
                </c:pt>
                <c:pt idx="72">
                  <c:v>8.6299999995389953E-2</c:v>
                </c:pt>
                <c:pt idx="74">
                  <c:v>8.5469999998167623E-2</c:v>
                </c:pt>
                <c:pt idx="76">
                  <c:v>8.6210000001301523E-2</c:v>
                </c:pt>
                <c:pt idx="78">
                  <c:v>8.5894000003463589E-2</c:v>
                </c:pt>
                <c:pt idx="79">
                  <c:v>8.9964000006148126E-2</c:v>
                </c:pt>
                <c:pt idx="80">
                  <c:v>8.72319999980391E-2</c:v>
                </c:pt>
                <c:pt idx="81">
                  <c:v>8.9231999998446554E-2</c:v>
                </c:pt>
                <c:pt idx="83">
                  <c:v>8.8024000004224945E-2</c:v>
                </c:pt>
                <c:pt idx="86">
                  <c:v>0.10753800000384217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51-461E-B95C-AA34AF8FD940}"/>
            </c:ext>
          </c:extLst>
        </c:ser>
        <c:ser>
          <c:idx val="3"/>
          <c:order val="2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Active!$S$21:$S$993</c:f>
              <c:numCache>
                <c:formatCode>General</c:formatCode>
                <c:ptCount val="973"/>
                <c:pt idx="0">
                  <c:v>0.55556500000238884</c:v>
                </c:pt>
                <c:pt idx="1">
                  <c:v>0.63450100000045495</c:v>
                </c:pt>
                <c:pt idx="2">
                  <c:v>0.56301099999836879</c:v>
                </c:pt>
                <c:pt idx="5">
                  <c:v>0.67352699999901233</c:v>
                </c:pt>
                <c:pt idx="9">
                  <c:v>0.62776300000405172</c:v>
                </c:pt>
                <c:pt idx="10">
                  <c:v>0.57801300000573974</c:v>
                </c:pt>
                <c:pt idx="11">
                  <c:v>0.55660100000386592</c:v>
                </c:pt>
                <c:pt idx="12">
                  <c:v>0.59211099999811267</c:v>
                </c:pt>
                <c:pt idx="13">
                  <c:v>0.58457899999484653</c:v>
                </c:pt>
                <c:pt idx="14">
                  <c:v>0.59257899999647634</c:v>
                </c:pt>
                <c:pt idx="15">
                  <c:v>0.597578999993857</c:v>
                </c:pt>
                <c:pt idx="16">
                  <c:v>0.60657899999932852</c:v>
                </c:pt>
                <c:pt idx="18">
                  <c:v>0.60608900000079302</c:v>
                </c:pt>
                <c:pt idx="19">
                  <c:v>0.57255699999950593</c:v>
                </c:pt>
                <c:pt idx="22">
                  <c:v>0.55785100000503007</c:v>
                </c:pt>
                <c:pt idx="23">
                  <c:v>0.61982899999566143</c:v>
                </c:pt>
                <c:pt idx="26">
                  <c:v>0.61488500000268687</c:v>
                </c:pt>
                <c:pt idx="32">
                  <c:v>0.4967670000041835</c:v>
                </c:pt>
                <c:pt idx="34">
                  <c:v>0.61397299999953248</c:v>
                </c:pt>
                <c:pt idx="37">
                  <c:v>0.50241900000401074</c:v>
                </c:pt>
                <c:pt idx="44">
                  <c:v>0.44228299999667797</c:v>
                </c:pt>
                <c:pt idx="47">
                  <c:v>0.41129100000398466</c:v>
                </c:pt>
                <c:pt idx="49">
                  <c:v>0.39933300000120653</c:v>
                </c:pt>
                <c:pt idx="50">
                  <c:v>0.4074689999979455</c:v>
                </c:pt>
                <c:pt idx="53">
                  <c:v>0.40881100000115111</c:v>
                </c:pt>
                <c:pt idx="54">
                  <c:v>0.40679500000260305</c:v>
                </c:pt>
                <c:pt idx="55">
                  <c:v>0.40516300000308547</c:v>
                </c:pt>
                <c:pt idx="59">
                  <c:v>0.41019100000266917</c:v>
                </c:pt>
                <c:pt idx="62">
                  <c:v>0.38640899999882095</c:v>
                </c:pt>
                <c:pt idx="64">
                  <c:v>0.39199299999745563</c:v>
                </c:pt>
                <c:pt idx="69">
                  <c:v>0.38998300000093877</c:v>
                </c:pt>
                <c:pt idx="71">
                  <c:v>0.3821029999962775</c:v>
                </c:pt>
                <c:pt idx="73">
                  <c:v>0.37481900000420865</c:v>
                </c:pt>
                <c:pt idx="75">
                  <c:v>0.37915500000235625</c:v>
                </c:pt>
                <c:pt idx="77">
                  <c:v>0.36850699999922654</c:v>
                </c:pt>
                <c:pt idx="82">
                  <c:v>0.37574900000618072</c:v>
                </c:pt>
                <c:pt idx="84">
                  <c:v>0.37104299999919022</c:v>
                </c:pt>
                <c:pt idx="85">
                  <c:v>0.35169299999688519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51-461E-B95C-AA34AF8FD9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8">
                  <c:v>4.5869999994465616E-2</c:v>
                </c:pt>
                <c:pt idx="40">
                  <c:v>5.6486000001314096E-2</c:v>
                </c:pt>
                <c:pt idx="41">
                  <c:v>5.8686000003945082E-2</c:v>
                </c:pt>
                <c:pt idx="43">
                  <c:v>5.8616000002075452E-2</c:v>
                </c:pt>
                <c:pt idx="45">
                  <c:v>6.3263999996706843E-2</c:v>
                </c:pt>
                <c:pt idx="46">
                  <c:v>7.417400000122143E-2</c:v>
                </c:pt>
                <c:pt idx="47">
                  <c:v>0.41129100000398466</c:v>
                </c:pt>
                <c:pt idx="48">
                  <c:v>7.4216000000888016E-2</c:v>
                </c:pt>
                <c:pt idx="49">
                  <c:v>0.39933300000120653</c:v>
                </c:pt>
                <c:pt idx="50">
                  <c:v>0.4074689999979455</c:v>
                </c:pt>
                <c:pt idx="51">
                  <c:v>6.8790000004810281E-2</c:v>
                </c:pt>
                <c:pt idx="52">
                  <c:v>7.4225999996997416E-2</c:v>
                </c:pt>
                <c:pt idx="53">
                  <c:v>0.40881100000115111</c:v>
                </c:pt>
                <c:pt idx="54">
                  <c:v>0.40679500000260305</c:v>
                </c:pt>
                <c:pt idx="55">
                  <c:v>0.40516300000308547</c:v>
                </c:pt>
                <c:pt idx="59">
                  <c:v>0.41019100000266917</c:v>
                </c:pt>
                <c:pt idx="60">
                  <c:v>7.9621999997470994E-2</c:v>
                </c:pt>
                <c:pt idx="61">
                  <c:v>7.9936000001907814E-2</c:v>
                </c:pt>
                <c:pt idx="62">
                  <c:v>0.38640899999882095</c:v>
                </c:pt>
                <c:pt idx="63">
                  <c:v>8.3176000000094064E-2</c:v>
                </c:pt>
                <c:pt idx="64">
                  <c:v>0.39199299999745563</c:v>
                </c:pt>
                <c:pt idx="65">
                  <c:v>8.2587999997485895E-2</c:v>
                </c:pt>
                <c:pt idx="66">
                  <c:v>8.4587999997893348E-2</c:v>
                </c:pt>
                <c:pt idx="67">
                  <c:v>8.4296000008180272E-2</c:v>
                </c:pt>
                <c:pt idx="68">
                  <c:v>8.3866000000853091E-2</c:v>
                </c:pt>
                <c:pt idx="69">
                  <c:v>0.38998300000093877</c:v>
                </c:pt>
                <c:pt idx="70">
                  <c:v>8.2818000002589542E-2</c:v>
                </c:pt>
                <c:pt idx="71">
                  <c:v>0.3821029999962775</c:v>
                </c:pt>
                <c:pt idx="72">
                  <c:v>8.6299999995389953E-2</c:v>
                </c:pt>
                <c:pt idx="73">
                  <c:v>0.37481900000420865</c:v>
                </c:pt>
                <c:pt idx="74">
                  <c:v>8.5469999998167623E-2</c:v>
                </c:pt>
                <c:pt idx="75">
                  <c:v>0.37915500000235625</c:v>
                </c:pt>
                <c:pt idx="76">
                  <c:v>8.6210000001301523E-2</c:v>
                </c:pt>
                <c:pt idx="77">
                  <c:v>0.36850699999922654</c:v>
                </c:pt>
                <c:pt idx="78">
                  <c:v>8.5894000003463589E-2</c:v>
                </c:pt>
                <c:pt idx="79">
                  <c:v>8.9964000006148126E-2</c:v>
                </c:pt>
                <c:pt idx="80">
                  <c:v>8.72319999980391E-2</c:v>
                </c:pt>
                <c:pt idx="81">
                  <c:v>8.9231999998446554E-2</c:v>
                </c:pt>
                <c:pt idx="82">
                  <c:v>0.37574900000618072</c:v>
                </c:pt>
                <c:pt idx="83">
                  <c:v>8.8024000004224945E-2</c:v>
                </c:pt>
                <c:pt idx="84">
                  <c:v>0.37104299999919022</c:v>
                </c:pt>
                <c:pt idx="85">
                  <c:v>0.35169299999688519</c:v>
                </c:pt>
                <c:pt idx="86">
                  <c:v>0.10753800000384217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51-461E-B95C-AA34AF8FD9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51-461E-B95C-AA34AF8FD9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51-461E-B95C-AA34AF8FD9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51-461E-B95C-AA34AF8FD9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-2.4880265214015582E-2</c:v>
                </c:pt>
                <c:pt idx="1">
                  <c:v>-2.4813643420479599E-2</c:v>
                </c:pt>
                <c:pt idx="2">
                  <c:v>-2.4563811694719658E-2</c:v>
                </c:pt>
                <c:pt idx="3">
                  <c:v>-2.1141117051808503E-2</c:v>
                </c:pt>
                <c:pt idx="4">
                  <c:v>-1.9442261316640924E-2</c:v>
                </c:pt>
                <c:pt idx="5">
                  <c:v>-1.8334673999105197E-2</c:v>
                </c:pt>
                <c:pt idx="6">
                  <c:v>-1.6027894397921766E-2</c:v>
                </c:pt>
                <c:pt idx="8">
                  <c:v>-1.1930654095458779E-2</c:v>
                </c:pt>
                <c:pt idx="9">
                  <c:v>-1.0773100432771065E-2</c:v>
                </c:pt>
                <c:pt idx="10">
                  <c:v>-8.6911693847715778E-3</c:v>
                </c:pt>
                <c:pt idx="11">
                  <c:v>-5.6598777788843275E-3</c:v>
                </c:pt>
                <c:pt idx="12">
                  <c:v>-5.4100460531243894E-3</c:v>
                </c:pt>
                <c:pt idx="13">
                  <c:v>-5.3767351563563971E-3</c:v>
                </c:pt>
                <c:pt idx="14">
                  <c:v>-5.3767351563563971E-3</c:v>
                </c:pt>
                <c:pt idx="15">
                  <c:v>-5.3767351563563971E-3</c:v>
                </c:pt>
                <c:pt idx="16">
                  <c:v>-5.3767351563563971E-3</c:v>
                </c:pt>
                <c:pt idx="17">
                  <c:v>-5.3684074321643993E-3</c:v>
                </c:pt>
                <c:pt idx="18">
                  <c:v>-5.126903430596459E-3</c:v>
                </c:pt>
                <c:pt idx="19">
                  <c:v>-5.0935925338284676E-3</c:v>
                </c:pt>
                <c:pt idx="20">
                  <c:v>-3.7861398356847896E-3</c:v>
                </c:pt>
                <c:pt idx="21">
                  <c:v>-3.7195180421488068E-3</c:v>
                </c:pt>
                <c:pt idx="22">
                  <c:v>-3.5779467308848425E-3</c:v>
                </c:pt>
                <c:pt idx="23">
                  <c:v>-3.2948041083569121E-3</c:v>
                </c:pt>
                <c:pt idx="24">
                  <c:v>-1.7042087876853046E-3</c:v>
                </c:pt>
                <c:pt idx="25">
                  <c:v>-1.7042087876853046E-3</c:v>
                </c:pt>
                <c:pt idx="26">
                  <c:v>-2.302016057016687E-4</c:v>
                </c:pt>
                <c:pt idx="27">
                  <c:v>-1.2194119120569578E-4</c:v>
                </c:pt>
                <c:pt idx="28">
                  <c:v>1.2789053455424318E-4</c:v>
                </c:pt>
                <c:pt idx="29">
                  <c:v>1.6102254407298761E-3</c:v>
                </c:pt>
                <c:pt idx="30">
                  <c:v>3.4090138662014324E-3</c:v>
                </c:pt>
                <c:pt idx="31">
                  <c:v>3.4090138662014324E-3</c:v>
                </c:pt>
                <c:pt idx="32">
                  <c:v>4.3167358031292076E-3</c:v>
                </c:pt>
                <c:pt idx="33">
                  <c:v>6.5069272656246673E-3</c:v>
                </c:pt>
                <c:pt idx="34">
                  <c:v>6.9649520961845533E-3</c:v>
                </c:pt>
                <c:pt idx="35">
                  <c:v>7.073212510680528E-3</c:v>
                </c:pt>
                <c:pt idx="36">
                  <c:v>1.0637478464855646E-2</c:v>
                </c:pt>
                <c:pt idx="37">
                  <c:v>1.560912980747842E-2</c:v>
                </c:pt>
                <c:pt idx="38">
                  <c:v>4.7279464909646594E-2</c:v>
                </c:pt>
                <c:pt idx="39">
                  <c:v>5.7539221114188063E-2</c:v>
                </c:pt>
                <c:pt idx="40">
                  <c:v>5.933800953965962E-2</c:v>
                </c:pt>
                <c:pt idx="41">
                  <c:v>5.933800953965962E-2</c:v>
                </c:pt>
                <c:pt idx="42">
                  <c:v>6.092027713613922E-2</c:v>
                </c:pt>
                <c:pt idx="43">
                  <c:v>6.092027713613922E-2</c:v>
                </c:pt>
                <c:pt idx="44">
                  <c:v>6.3010535908330709E-2</c:v>
                </c:pt>
                <c:pt idx="45">
                  <c:v>6.6283331515785901E-2</c:v>
                </c:pt>
                <c:pt idx="46">
                  <c:v>7.4860887433543785E-2</c:v>
                </c:pt>
                <c:pt idx="47">
                  <c:v>7.4869215157735786E-2</c:v>
                </c:pt>
                <c:pt idx="48">
                  <c:v>7.5077408262535728E-2</c:v>
                </c:pt>
                <c:pt idx="49">
                  <c:v>7.5085735986727728E-2</c:v>
                </c:pt>
                <c:pt idx="50">
                  <c:v>7.5152357780263718E-2</c:v>
                </c:pt>
                <c:pt idx="51">
                  <c:v>7.5260618194759682E-2</c:v>
                </c:pt>
                <c:pt idx="52">
                  <c:v>7.5327239988295672E-2</c:v>
                </c:pt>
                <c:pt idx="53">
                  <c:v>7.536887860925566E-2</c:v>
                </c:pt>
                <c:pt idx="54">
                  <c:v>7.663469268643934E-2</c:v>
                </c:pt>
                <c:pt idx="55">
                  <c:v>7.6668003583207342E-2</c:v>
                </c:pt>
                <c:pt idx="56">
                  <c:v>7.6792919446087307E-2</c:v>
                </c:pt>
                <c:pt idx="57">
                  <c:v>7.6792919446087307E-2</c:v>
                </c:pt>
                <c:pt idx="58">
                  <c:v>7.6792919446087307E-2</c:v>
                </c:pt>
                <c:pt idx="59">
                  <c:v>7.9033077253734749E-2</c:v>
                </c:pt>
                <c:pt idx="60">
                  <c:v>8.0223941813190452E-2</c:v>
                </c:pt>
                <c:pt idx="61">
                  <c:v>8.0573706229254374E-2</c:v>
                </c:pt>
                <c:pt idx="62">
                  <c:v>8.198109161770202E-2</c:v>
                </c:pt>
                <c:pt idx="63">
                  <c:v>8.2405805551493919E-2</c:v>
                </c:pt>
                <c:pt idx="64">
                  <c:v>8.2414133275685919E-2</c:v>
                </c:pt>
                <c:pt idx="65">
                  <c:v>8.3538376041605633E-2</c:v>
                </c:pt>
                <c:pt idx="66">
                  <c:v>8.3538376041605633E-2</c:v>
                </c:pt>
                <c:pt idx="67">
                  <c:v>8.3738241422213588E-2</c:v>
                </c:pt>
                <c:pt idx="68">
                  <c:v>8.3821518664133565E-2</c:v>
                </c:pt>
                <c:pt idx="69">
                  <c:v>8.3829846388325566E-2</c:v>
                </c:pt>
                <c:pt idx="70">
                  <c:v>8.4287871218885452E-2</c:v>
                </c:pt>
                <c:pt idx="71">
                  <c:v>8.432950983984544E-2</c:v>
                </c:pt>
                <c:pt idx="72">
                  <c:v>8.5503718950917157E-2</c:v>
                </c:pt>
                <c:pt idx="73">
                  <c:v>8.5562013020261146E-2</c:v>
                </c:pt>
                <c:pt idx="74">
                  <c:v>8.5586996192837134E-2</c:v>
                </c:pt>
                <c:pt idx="75">
                  <c:v>8.5628634813797122E-2</c:v>
                </c:pt>
                <c:pt idx="76">
                  <c:v>8.5753550676677087E-2</c:v>
                </c:pt>
                <c:pt idx="77">
                  <c:v>8.6094987368549009E-2</c:v>
                </c:pt>
                <c:pt idx="78">
                  <c:v>8.6186592334660986E-2</c:v>
                </c:pt>
                <c:pt idx="79">
                  <c:v>8.7102641995780758E-2</c:v>
                </c:pt>
                <c:pt idx="80">
                  <c:v>8.7135952892548746E-2</c:v>
                </c:pt>
                <c:pt idx="81">
                  <c:v>8.7135952892548746E-2</c:v>
                </c:pt>
                <c:pt idx="82">
                  <c:v>8.7144280616740746E-2</c:v>
                </c:pt>
                <c:pt idx="83">
                  <c:v>8.77688599311406E-2</c:v>
                </c:pt>
                <c:pt idx="84">
                  <c:v>8.8659926419684371E-2</c:v>
                </c:pt>
                <c:pt idx="85">
                  <c:v>8.9076312629284268E-2</c:v>
                </c:pt>
                <c:pt idx="86">
                  <c:v>0.10144298305440122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51-461E-B95C-AA34AF8FD94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0">
                  <c:v>0.62733509742100446</c:v>
                </c:pt>
                <c:pt idx="1">
                  <c:v>0.62718690510141051</c:v>
                </c:pt>
                <c:pt idx="2">
                  <c:v>0.62663118390293326</c:v>
                </c:pt>
                <c:pt idx="3">
                  <c:v>0.61901780348379498</c:v>
                </c:pt>
                <c:pt idx="4">
                  <c:v>0.61523889933414966</c:v>
                </c:pt>
                <c:pt idx="5">
                  <c:v>0.61277520202090052</c:v>
                </c:pt>
                <c:pt idx="6">
                  <c:v>0.60764404295496066</c:v>
                </c:pt>
                <c:pt idx="8">
                  <c:v>0.59853021529993378</c:v>
                </c:pt>
                <c:pt idx="9">
                  <c:v>0.59595537374698915</c:v>
                </c:pt>
                <c:pt idx="10">
                  <c:v>0.59132436375967878</c:v>
                </c:pt>
                <c:pt idx="11">
                  <c:v>0.58458161321815483</c:v>
                </c:pt>
                <c:pt idx="12">
                  <c:v>0.58402589201967758</c:v>
                </c:pt>
                <c:pt idx="13">
                  <c:v>0.58395179585988066</c:v>
                </c:pt>
                <c:pt idx="14">
                  <c:v>0.58395179585988066</c:v>
                </c:pt>
                <c:pt idx="15">
                  <c:v>0.58395179585988066</c:v>
                </c:pt>
                <c:pt idx="16">
                  <c:v>0.58395179585988066</c:v>
                </c:pt>
                <c:pt idx="17">
                  <c:v>0.58393327181993138</c:v>
                </c:pt>
                <c:pt idx="18">
                  <c:v>0.58339607466140342</c:v>
                </c:pt>
                <c:pt idx="19">
                  <c:v>0.58332197850160639</c:v>
                </c:pt>
                <c:pt idx="20">
                  <c:v>0.5804137042295755</c:v>
                </c:pt>
                <c:pt idx="21">
                  <c:v>0.58026551190998155</c:v>
                </c:pt>
                <c:pt idx="22">
                  <c:v>0.57995060323084446</c:v>
                </c:pt>
                <c:pt idx="23">
                  <c:v>0.57932078587257019</c:v>
                </c:pt>
                <c:pt idx="24">
                  <c:v>0.57578269424226514</c:v>
                </c:pt>
                <c:pt idx="25">
                  <c:v>0.57578269424226514</c:v>
                </c:pt>
                <c:pt idx="26">
                  <c:v>0.57250393917124931</c:v>
                </c:pt>
                <c:pt idx="27">
                  <c:v>0.57226312665190915</c:v>
                </c:pt>
                <c:pt idx="28">
                  <c:v>0.5717074054534319</c:v>
                </c:pt>
                <c:pt idx="29">
                  <c:v>0.5684101263424669</c:v>
                </c:pt>
                <c:pt idx="30">
                  <c:v>0.5644089337134307</c:v>
                </c:pt>
                <c:pt idx="31">
                  <c:v>0.5644089337134307</c:v>
                </c:pt>
                <c:pt idx="32">
                  <c:v>0.56238981335896343</c:v>
                </c:pt>
                <c:pt idx="33">
                  <c:v>0.55751799085231291</c:v>
                </c:pt>
                <c:pt idx="34">
                  <c:v>0.55649916865510463</c:v>
                </c:pt>
                <c:pt idx="35">
                  <c:v>0.55625835613576446</c:v>
                </c:pt>
                <c:pt idx="36">
                  <c:v>0.5483300670374891</c:v>
                </c:pt>
                <c:pt idx="37">
                  <c:v>0.53727121518779186</c:v>
                </c:pt>
                <c:pt idx="38">
                  <c:v>0.46682429126082603</c:v>
                </c:pt>
                <c:pt idx="39">
                  <c:v>0.44400267404336036</c:v>
                </c:pt>
                <c:pt idx="40">
                  <c:v>0.44000148141432416</c:v>
                </c:pt>
                <c:pt idx="41">
                  <c:v>0.44000148141432416</c:v>
                </c:pt>
                <c:pt idx="42">
                  <c:v>0.43648191382396828</c:v>
                </c:pt>
                <c:pt idx="43">
                  <c:v>0.43648191382396828</c:v>
                </c:pt>
                <c:pt idx="44">
                  <c:v>0.43183237979670863</c:v>
                </c:pt>
                <c:pt idx="45">
                  <c:v>0.42455243209665672</c:v>
                </c:pt>
                <c:pt idx="46">
                  <c:v>0.40547267094893785</c:v>
                </c:pt>
                <c:pt idx="47">
                  <c:v>0.40545414690898862</c:v>
                </c:pt>
                <c:pt idx="48">
                  <c:v>0.40499104591025759</c:v>
                </c:pt>
                <c:pt idx="49">
                  <c:v>0.4049725218703083</c:v>
                </c:pt>
                <c:pt idx="50">
                  <c:v>0.40482432955071435</c:v>
                </c:pt>
                <c:pt idx="51">
                  <c:v>0.40458351703137424</c:v>
                </c:pt>
                <c:pt idx="52">
                  <c:v>0.40443532471178034</c:v>
                </c:pt>
                <c:pt idx="53">
                  <c:v>0.40434270451203413</c:v>
                </c:pt>
                <c:pt idx="54">
                  <c:v>0.40152705043974934</c:v>
                </c:pt>
                <c:pt idx="55">
                  <c:v>0.40145295427995242</c:v>
                </c:pt>
                <c:pt idx="56">
                  <c:v>0.4011750936807138</c:v>
                </c:pt>
                <c:pt idx="57">
                  <c:v>0.4011750936807138</c:v>
                </c:pt>
                <c:pt idx="58">
                  <c:v>0.4011750936807138</c:v>
                </c:pt>
                <c:pt idx="59">
                  <c:v>0.39619212693436778</c:v>
                </c:pt>
                <c:pt idx="60">
                  <c:v>0.39354318922162623</c:v>
                </c:pt>
                <c:pt idx="61">
                  <c:v>0.39276517954375811</c:v>
                </c:pt>
                <c:pt idx="62">
                  <c:v>0.38963461679233624</c:v>
                </c:pt>
                <c:pt idx="63">
                  <c:v>0.38868989075492494</c:v>
                </c:pt>
                <c:pt idx="64">
                  <c:v>0.38867136671497571</c:v>
                </c:pt>
                <c:pt idx="65">
                  <c:v>0.38617062132182811</c:v>
                </c:pt>
                <c:pt idx="66">
                  <c:v>0.38617062132182811</c:v>
                </c:pt>
                <c:pt idx="67">
                  <c:v>0.38572604436304631</c:v>
                </c:pt>
                <c:pt idx="68">
                  <c:v>0.38554080396355389</c:v>
                </c:pt>
                <c:pt idx="69">
                  <c:v>0.38552227992360466</c:v>
                </c:pt>
                <c:pt idx="70">
                  <c:v>0.38450345772639638</c:v>
                </c:pt>
                <c:pt idx="71">
                  <c:v>0.38441083752665017</c:v>
                </c:pt>
                <c:pt idx="72">
                  <c:v>0.38179894789380708</c:v>
                </c:pt>
                <c:pt idx="73">
                  <c:v>0.38166927961416242</c:v>
                </c:pt>
                <c:pt idx="74">
                  <c:v>0.38161370749431467</c:v>
                </c:pt>
                <c:pt idx="75">
                  <c:v>0.38152108729456846</c:v>
                </c:pt>
                <c:pt idx="76">
                  <c:v>0.38124322669532984</c:v>
                </c:pt>
                <c:pt idx="77">
                  <c:v>0.3804837410574109</c:v>
                </c:pt>
                <c:pt idx="78">
                  <c:v>0.38027997661796931</c:v>
                </c:pt>
                <c:pt idx="79">
                  <c:v>0.37824233222355269</c:v>
                </c:pt>
                <c:pt idx="80">
                  <c:v>0.37816823606375571</c:v>
                </c:pt>
                <c:pt idx="81">
                  <c:v>0.37816823606375571</c:v>
                </c:pt>
                <c:pt idx="82">
                  <c:v>0.37814971202380648</c:v>
                </c:pt>
                <c:pt idx="83">
                  <c:v>0.37676040902761337</c:v>
                </c:pt>
                <c:pt idx="84">
                  <c:v>0.37477833675304451</c:v>
                </c:pt>
                <c:pt idx="85">
                  <c:v>0.37385213475558243</c:v>
                </c:pt>
                <c:pt idx="86">
                  <c:v>0.34634393543095865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E51-461E-B95C-AA34AF8FD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655480"/>
        <c:axId val="1"/>
      </c:scatterChart>
      <c:valAx>
        <c:axId val="711655480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064570149589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13496932515337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5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30077451974944"/>
          <c:y val="0.92024539877300615"/>
          <c:w val="0.8481601532937217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V1136 Cyg - O-C Diagr.</a:t>
            </a:r>
          </a:p>
        </c:rich>
      </c:tx>
      <c:layout>
        <c:manualLayout>
          <c:xMode val="edge"/>
          <c:yMode val="edge"/>
          <c:x val="0.3644716692189892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0566615620214"/>
          <c:y val="0.14678942920199375"/>
          <c:w val="0.8269525267993874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AD-4BD5-831C-D296E2B008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1E-4</c:v>
                  </c:pt>
                  <c:pt idx="77">
                    <c:v>0</c:v>
                  </c:pt>
                  <c:pt idx="78">
                    <c:v>4.0000000000000002E-4</c:v>
                  </c:pt>
                  <c:pt idx="79">
                    <c:v>1.1000000000000001E-3</c:v>
                  </c:pt>
                  <c:pt idx="80">
                    <c:v>8.9999999999999998E-4</c:v>
                  </c:pt>
                  <c:pt idx="81">
                    <c:v>5.9999999999999995E-4</c:v>
                  </c:pt>
                  <c:pt idx="82">
                    <c:v>1.1000000000000001E-3</c:v>
                  </c:pt>
                  <c:pt idx="83">
                    <c:v>4.0000000000000002E-4</c:v>
                  </c:pt>
                  <c:pt idx="84">
                    <c:v>1.9E-3</c:v>
                  </c:pt>
                  <c:pt idx="85">
                    <c:v>5.9999999999999995E-4</c:v>
                  </c:pt>
                  <c:pt idx="86">
                    <c:v>2.5000000000000001E-3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1E-4</c:v>
                  </c:pt>
                  <c:pt idx="77">
                    <c:v>0</c:v>
                  </c:pt>
                  <c:pt idx="78">
                    <c:v>4.0000000000000002E-4</c:v>
                  </c:pt>
                  <c:pt idx="79">
                    <c:v>1.1000000000000001E-3</c:v>
                  </c:pt>
                  <c:pt idx="80">
                    <c:v>8.9999999999999998E-4</c:v>
                  </c:pt>
                  <c:pt idx="81">
                    <c:v>5.9999999999999995E-4</c:v>
                  </c:pt>
                  <c:pt idx="82">
                    <c:v>1.1000000000000001E-3</c:v>
                  </c:pt>
                  <c:pt idx="83">
                    <c:v>4.0000000000000002E-4</c:v>
                  </c:pt>
                  <c:pt idx="84">
                    <c:v>1.9E-3</c:v>
                  </c:pt>
                  <c:pt idx="85">
                    <c:v>5.9999999999999995E-4</c:v>
                  </c:pt>
                  <c:pt idx="86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0.55556500000238884</c:v>
                </c:pt>
                <c:pt idx="1">
                  <c:v>0.63450100000045495</c:v>
                </c:pt>
                <c:pt idx="2">
                  <c:v>0.56301099999836879</c:v>
                </c:pt>
                <c:pt idx="3">
                  <c:v>-5.4020000025047921E-3</c:v>
                </c:pt>
                <c:pt idx="4">
                  <c:v>-7.2533999998995569E-2</c:v>
                </c:pt>
                <c:pt idx="5">
                  <c:v>0.67352699999901233</c:v>
                </c:pt>
                <c:pt idx="6">
                  <c:v>-7.5639999995473772E-3</c:v>
                </c:pt>
                <c:pt idx="8">
                  <c:v>1.4999999999417923E-2</c:v>
                </c:pt>
                <c:pt idx="9">
                  <c:v>0.62776300000405172</c:v>
                </c:pt>
                <c:pt idx="10">
                  <c:v>0.57801300000573974</c:v>
                </c:pt>
                <c:pt idx="11">
                  <c:v>0.55660100000386592</c:v>
                </c:pt>
                <c:pt idx="12">
                  <c:v>0.59211099999811267</c:v>
                </c:pt>
                <c:pt idx="13">
                  <c:v>0.58457899999484653</c:v>
                </c:pt>
                <c:pt idx="14">
                  <c:v>0.59257899999647634</c:v>
                </c:pt>
                <c:pt idx="15">
                  <c:v>0.597578999993857</c:v>
                </c:pt>
                <c:pt idx="16">
                  <c:v>0.60657899999932852</c:v>
                </c:pt>
                <c:pt idx="17">
                  <c:v>-1.8803999999363441E-2</c:v>
                </c:pt>
                <c:pt idx="18">
                  <c:v>0.60608900000079302</c:v>
                </c:pt>
                <c:pt idx="19">
                  <c:v>0.57255699999950593</c:v>
                </c:pt>
                <c:pt idx="20">
                  <c:v>-5.7399999786866829E-4</c:v>
                </c:pt>
                <c:pt idx="21">
                  <c:v>6.3620000000810251E-3</c:v>
                </c:pt>
                <c:pt idx="22">
                  <c:v>0.55785100000503007</c:v>
                </c:pt>
                <c:pt idx="23">
                  <c:v>0.61982899999566143</c:v>
                </c:pt>
                <c:pt idx="24">
                  <c:v>3.6760000002686866E-3</c:v>
                </c:pt>
                <c:pt idx="25">
                  <c:v>5.6760000006761402E-3</c:v>
                </c:pt>
                <c:pt idx="26">
                  <c:v>0.61488500000268687</c:v>
                </c:pt>
                <c:pt idx="27">
                  <c:v>-1.0939999992842786E-3</c:v>
                </c:pt>
                <c:pt idx="28">
                  <c:v>1.6415999998571351E-2</c:v>
                </c:pt>
                <c:pt idx="29">
                  <c:v>-9.758000000147149E-3</c:v>
                </c:pt>
                <c:pt idx="30">
                  <c:v>-2.4486000002070796E-2</c:v>
                </c:pt>
                <c:pt idx="31">
                  <c:v>-1.4486000000033528E-2</c:v>
                </c:pt>
                <c:pt idx="32">
                  <c:v>0.4967670000041835</c:v>
                </c:pt>
                <c:pt idx="33">
                  <c:v>-1.7961999998078682E-2</c:v>
                </c:pt>
                <c:pt idx="34">
                  <c:v>0.61397299999953248</c:v>
                </c:pt>
                <c:pt idx="35">
                  <c:v>4.1993999999249354E-2</c:v>
                </c:pt>
                <c:pt idx="36">
                  <c:v>4.4069999996281695E-2</c:v>
                </c:pt>
                <c:pt idx="37">
                  <c:v>0.50241900000401074</c:v>
                </c:pt>
                <c:pt idx="42">
                  <c:v>5.8516000004601665E-2</c:v>
                </c:pt>
                <c:pt idx="44">
                  <c:v>0.44228299999667797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AD-4BD5-831C-D296E2B008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9">
                  <c:v>5.5914000004122499E-2</c:v>
                </c:pt>
                <c:pt idx="56">
                  <c:v>7.6317999999446329E-2</c:v>
                </c:pt>
                <c:pt idx="57">
                  <c:v>7.6317999999446329E-2</c:v>
                </c:pt>
                <c:pt idx="58">
                  <c:v>7.7418000000761822E-2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AD-4BD5-831C-D296E2B008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8">
                  <c:v>4.5869999994465616E-2</c:v>
                </c:pt>
                <c:pt idx="40">
                  <c:v>5.6486000001314096E-2</c:v>
                </c:pt>
                <c:pt idx="41">
                  <c:v>5.8686000003945082E-2</c:v>
                </c:pt>
                <c:pt idx="43">
                  <c:v>5.8616000002075452E-2</c:v>
                </c:pt>
                <c:pt idx="45">
                  <c:v>6.3263999996706843E-2</c:v>
                </c:pt>
                <c:pt idx="46">
                  <c:v>7.417400000122143E-2</c:v>
                </c:pt>
                <c:pt idx="47">
                  <c:v>0.41129100000398466</c:v>
                </c:pt>
                <c:pt idx="48">
                  <c:v>7.4216000000888016E-2</c:v>
                </c:pt>
                <c:pt idx="49">
                  <c:v>0.39933300000120653</c:v>
                </c:pt>
                <c:pt idx="50">
                  <c:v>0.4074689999979455</c:v>
                </c:pt>
                <c:pt idx="51">
                  <c:v>6.8790000004810281E-2</c:v>
                </c:pt>
                <c:pt idx="52">
                  <c:v>7.4225999996997416E-2</c:v>
                </c:pt>
                <c:pt idx="53">
                  <c:v>0.40881100000115111</c:v>
                </c:pt>
                <c:pt idx="54">
                  <c:v>0.40679500000260305</c:v>
                </c:pt>
                <c:pt idx="55">
                  <c:v>0.40516300000308547</c:v>
                </c:pt>
                <c:pt idx="59">
                  <c:v>0.41019100000266917</c:v>
                </c:pt>
                <c:pt idx="60">
                  <c:v>7.9621999997470994E-2</c:v>
                </c:pt>
                <c:pt idx="61">
                  <c:v>7.9936000001907814E-2</c:v>
                </c:pt>
                <c:pt idx="62">
                  <c:v>0.38640899999882095</c:v>
                </c:pt>
                <c:pt idx="63">
                  <c:v>8.3176000000094064E-2</c:v>
                </c:pt>
                <c:pt idx="64">
                  <c:v>0.39199299999745563</c:v>
                </c:pt>
                <c:pt idx="65">
                  <c:v>8.2587999997485895E-2</c:v>
                </c:pt>
                <c:pt idx="66">
                  <c:v>8.4587999997893348E-2</c:v>
                </c:pt>
                <c:pt idx="67">
                  <c:v>8.4296000008180272E-2</c:v>
                </c:pt>
                <c:pt idx="68">
                  <c:v>8.3866000000853091E-2</c:v>
                </c:pt>
                <c:pt idx="69">
                  <c:v>0.38998300000093877</c:v>
                </c:pt>
                <c:pt idx="70">
                  <c:v>8.2818000002589542E-2</c:v>
                </c:pt>
                <c:pt idx="71">
                  <c:v>0.3821029999962775</c:v>
                </c:pt>
                <c:pt idx="72">
                  <c:v>8.6299999995389953E-2</c:v>
                </c:pt>
                <c:pt idx="73">
                  <c:v>0.37481900000420865</c:v>
                </c:pt>
                <c:pt idx="74">
                  <c:v>8.5469999998167623E-2</c:v>
                </c:pt>
                <c:pt idx="75">
                  <c:v>0.37915500000235625</c:v>
                </c:pt>
                <c:pt idx="76">
                  <c:v>8.6210000001301523E-2</c:v>
                </c:pt>
                <c:pt idx="77">
                  <c:v>0.36850699999922654</c:v>
                </c:pt>
                <c:pt idx="78">
                  <c:v>8.5894000003463589E-2</c:v>
                </c:pt>
                <c:pt idx="79">
                  <c:v>8.9964000006148126E-2</c:v>
                </c:pt>
                <c:pt idx="80">
                  <c:v>8.72319999980391E-2</c:v>
                </c:pt>
                <c:pt idx="81">
                  <c:v>8.9231999998446554E-2</c:v>
                </c:pt>
                <c:pt idx="82">
                  <c:v>0.37574900000618072</c:v>
                </c:pt>
                <c:pt idx="83">
                  <c:v>8.8024000004224945E-2</c:v>
                </c:pt>
                <c:pt idx="84">
                  <c:v>0.37104299999919022</c:v>
                </c:pt>
                <c:pt idx="85">
                  <c:v>0.35169299999688519</c:v>
                </c:pt>
                <c:pt idx="86">
                  <c:v>0.10753800000384217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AD-4BD5-831C-D296E2B008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AD-4BD5-831C-D296E2B008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AD-4BD5-831C-D296E2B008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4.0000000000000002E-4</c:v>
                  </c:pt>
                  <c:pt idx="41">
                    <c:v>0</c:v>
                  </c:pt>
                  <c:pt idx="42">
                    <c:v>8.0000000000000004E-4</c:v>
                  </c:pt>
                  <c:pt idx="43">
                    <c:v>0</c:v>
                  </c:pt>
                  <c:pt idx="44">
                    <c:v>8.0000000000000004E-4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1.1000000000000001E-3</c:v>
                  </c:pt>
                  <c:pt idx="49">
                    <c:v>1.8E-3</c:v>
                  </c:pt>
                  <c:pt idx="50">
                    <c:v>5.9999999999999995E-4</c:v>
                  </c:pt>
                  <c:pt idx="51">
                    <c:v>5.9999999999999995E-4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6.9999999999999999E-4</c:v>
                  </c:pt>
                  <c:pt idx="55">
                    <c:v>8.9999999999999998E-4</c:v>
                  </c:pt>
                  <c:pt idx="56">
                    <c:v>1E-3</c:v>
                  </c:pt>
                  <c:pt idx="57">
                    <c:v>1E-3</c:v>
                  </c:pt>
                  <c:pt idx="58">
                    <c:v>2.9999999999999997E-4</c:v>
                  </c:pt>
                  <c:pt idx="59">
                    <c:v>0</c:v>
                  </c:pt>
                  <c:pt idx="60">
                    <c:v>5.9999999999999995E-4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2.0000000000000001E-4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AD-4BD5-831C-D296E2B008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-2.4880265214015582E-2</c:v>
                </c:pt>
                <c:pt idx="1">
                  <c:v>-2.4813643420479599E-2</c:v>
                </c:pt>
                <c:pt idx="2">
                  <c:v>-2.4563811694719658E-2</c:v>
                </c:pt>
                <c:pt idx="3">
                  <c:v>-2.1141117051808503E-2</c:v>
                </c:pt>
                <c:pt idx="4">
                  <c:v>-1.9442261316640924E-2</c:v>
                </c:pt>
                <c:pt idx="5">
                  <c:v>-1.8334673999105197E-2</c:v>
                </c:pt>
                <c:pt idx="6">
                  <c:v>-1.6027894397921766E-2</c:v>
                </c:pt>
                <c:pt idx="8">
                  <c:v>-1.1930654095458779E-2</c:v>
                </c:pt>
                <c:pt idx="9">
                  <c:v>-1.0773100432771065E-2</c:v>
                </c:pt>
                <c:pt idx="10">
                  <c:v>-8.6911693847715778E-3</c:v>
                </c:pt>
                <c:pt idx="11">
                  <c:v>-5.6598777788843275E-3</c:v>
                </c:pt>
                <c:pt idx="12">
                  <c:v>-5.4100460531243894E-3</c:v>
                </c:pt>
                <c:pt idx="13">
                  <c:v>-5.3767351563563971E-3</c:v>
                </c:pt>
                <c:pt idx="14">
                  <c:v>-5.3767351563563971E-3</c:v>
                </c:pt>
                <c:pt idx="15">
                  <c:v>-5.3767351563563971E-3</c:v>
                </c:pt>
                <c:pt idx="16">
                  <c:v>-5.3767351563563971E-3</c:v>
                </c:pt>
                <c:pt idx="17">
                  <c:v>-5.3684074321643993E-3</c:v>
                </c:pt>
                <c:pt idx="18">
                  <c:v>-5.126903430596459E-3</c:v>
                </c:pt>
                <c:pt idx="19">
                  <c:v>-5.0935925338284676E-3</c:v>
                </c:pt>
                <c:pt idx="20">
                  <c:v>-3.7861398356847896E-3</c:v>
                </c:pt>
                <c:pt idx="21">
                  <c:v>-3.7195180421488068E-3</c:v>
                </c:pt>
                <c:pt idx="22">
                  <c:v>-3.5779467308848425E-3</c:v>
                </c:pt>
                <c:pt idx="23">
                  <c:v>-3.2948041083569121E-3</c:v>
                </c:pt>
                <c:pt idx="24">
                  <c:v>-1.7042087876853046E-3</c:v>
                </c:pt>
                <c:pt idx="25">
                  <c:v>-1.7042087876853046E-3</c:v>
                </c:pt>
                <c:pt idx="26">
                  <c:v>-2.302016057016687E-4</c:v>
                </c:pt>
                <c:pt idx="27">
                  <c:v>-1.2194119120569578E-4</c:v>
                </c:pt>
                <c:pt idx="28">
                  <c:v>1.2789053455424318E-4</c:v>
                </c:pt>
                <c:pt idx="29">
                  <c:v>1.6102254407298761E-3</c:v>
                </c:pt>
                <c:pt idx="30">
                  <c:v>3.4090138662014324E-3</c:v>
                </c:pt>
                <c:pt idx="31">
                  <c:v>3.4090138662014324E-3</c:v>
                </c:pt>
                <c:pt idx="32">
                  <c:v>4.3167358031292076E-3</c:v>
                </c:pt>
                <c:pt idx="33">
                  <c:v>6.5069272656246673E-3</c:v>
                </c:pt>
                <c:pt idx="34">
                  <c:v>6.9649520961845533E-3</c:v>
                </c:pt>
                <c:pt idx="35">
                  <c:v>7.073212510680528E-3</c:v>
                </c:pt>
                <c:pt idx="36">
                  <c:v>1.0637478464855646E-2</c:v>
                </c:pt>
                <c:pt idx="37">
                  <c:v>1.560912980747842E-2</c:v>
                </c:pt>
                <c:pt idx="38">
                  <c:v>4.7279464909646594E-2</c:v>
                </c:pt>
                <c:pt idx="39">
                  <c:v>5.7539221114188063E-2</c:v>
                </c:pt>
                <c:pt idx="40">
                  <c:v>5.933800953965962E-2</c:v>
                </c:pt>
                <c:pt idx="41">
                  <c:v>5.933800953965962E-2</c:v>
                </c:pt>
                <c:pt idx="42">
                  <c:v>6.092027713613922E-2</c:v>
                </c:pt>
                <c:pt idx="43">
                  <c:v>6.092027713613922E-2</c:v>
                </c:pt>
                <c:pt idx="44">
                  <c:v>6.3010535908330709E-2</c:v>
                </c:pt>
                <c:pt idx="45">
                  <c:v>6.6283331515785901E-2</c:v>
                </c:pt>
                <c:pt idx="46">
                  <c:v>7.4860887433543785E-2</c:v>
                </c:pt>
                <c:pt idx="47">
                  <c:v>7.4869215157735786E-2</c:v>
                </c:pt>
                <c:pt idx="48">
                  <c:v>7.5077408262535728E-2</c:v>
                </c:pt>
                <c:pt idx="49">
                  <c:v>7.5085735986727728E-2</c:v>
                </c:pt>
                <c:pt idx="50">
                  <c:v>7.5152357780263718E-2</c:v>
                </c:pt>
                <c:pt idx="51">
                  <c:v>7.5260618194759682E-2</c:v>
                </c:pt>
                <c:pt idx="52">
                  <c:v>7.5327239988295672E-2</c:v>
                </c:pt>
                <c:pt idx="53">
                  <c:v>7.536887860925566E-2</c:v>
                </c:pt>
                <c:pt idx="54">
                  <c:v>7.663469268643934E-2</c:v>
                </c:pt>
                <c:pt idx="55">
                  <c:v>7.6668003583207342E-2</c:v>
                </c:pt>
                <c:pt idx="56">
                  <c:v>7.6792919446087307E-2</c:v>
                </c:pt>
                <c:pt idx="57">
                  <c:v>7.6792919446087307E-2</c:v>
                </c:pt>
                <c:pt idx="58">
                  <c:v>7.6792919446087307E-2</c:v>
                </c:pt>
                <c:pt idx="59">
                  <c:v>7.9033077253734749E-2</c:v>
                </c:pt>
                <c:pt idx="60">
                  <c:v>8.0223941813190452E-2</c:v>
                </c:pt>
                <c:pt idx="61">
                  <c:v>8.0573706229254374E-2</c:v>
                </c:pt>
                <c:pt idx="62">
                  <c:v>8.198109161770202E-2</c:v>
                </c:pt>
                <c:pt idx="63">
                  <c:v>8.2405805551493919E-2</c:v>
                </c:pt>
                <c:pt idx="64">
                  <c:v>8.2414133275685919E-2</c:v>
                </c:pt>
                <c:pt idx="65">
                  <c:v>8.3538376041605633E-2</c:v>
                </c:pt>
                <c:pt idx="66">
                  <c:v>8.3538376041605633E-2</c:v>
                </c:pt>
                <c:pt idx="67">
                  <c:v>8.3738241422213588E-2</c:v>
                </c:pt>
                <c:pt idx="68">
                  <c:v>8.3821518664133565E-2</c:v>
                </c:pt>
                <c:pt idx="69">
                  <c:v>8.3829846388325566E-2</c:v>
                </c:pt>
                <c:pt idx="70">
                  <c:v>8.4287871218885452E-2</c:v>
                </c:pt>
                <c:pt idx="71">
                  <c:v>8.432950983984544E-2</c:v>
                </c:pt>
                <c:pt idx="72">
                  <c:v>8.5503718950917157E-2</c:v>
                </c:pt>
                <c:pt idx="73">
                  <c:v>8.5562013020261146E-2</c:v>
                </c:pt>
                <c:pt idx="74">
                  <c:v>8.5586996192837134E-2</c:v>
                </c:pt>
                <c:pt idx="75">
                  <c:v>8.5628634813797122E-2</c:v>
                </c:pt>
                <c:pt idx="76">
                  <c:v>8.5753550676677087E-2</c:v>
                </c:pt>
                <c:pt idx="77">
                  <c:v>8.6094987368549009E-2</c:v>
                </c:pt>
                <c:pt idx="78">
                  <c:v>8.6186592334660986E-2</c:v>
                </c:pt>
                <c:pt idx="79">
                  <c:v>8.7102641995780758E-2</c:v>
                </c:pt>
                <c:pt idx="80">
                  <c:v>8.7135952892548746E-2</c:v>
                </c:pt>
                <c:pt idx="81">
                  <c:v>8.7135952892548746E-2</c:v>
                </c:pt>
                <c:pt idx="82">
                  <c:v>8.7144280616740746E-2</c:v>
                </c:pt>
                <c:pt idx="83">
                  <c:v>8.77688599311406E-2</c:v>
                </c:pt>
                <c:pt idx="84">
                  <c:v>8.8659926419684371E-2</c:v>
                </c:pt>
                <c:pt idx="85">
                  <c:v>8.9076312629284268E-2</c:v>
                </c:pt>
                <c:pt idx="86">
                  <c:v>0.10144298305440122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AD-4BD5-831C-D296E2B00877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-777.5</c:v>
                </c:pt>
                <c:pt idx="1">
                  <c:v>-773.5</c:v>
                </c:pt>
                <c:pt idx="2">
                  <c:v>-758.5</c:v>
                </c:pt>
                <c:pt idx="3">
                  <c:v>-553</c:v>
                </c:pt>
                <c:pt idx="4">
                  <c:v>-451</c:v>
                </c:pt>
                <c:pt idx="5">
                  <c:v>-384.5</c:v>
                </c:pt>
                <c:pt idx="6">
                  <c:v>-246</c:v>
                </c:pt>
                <c:pt idx="7">
                  <c:v>0</c:v>
                </c:pt>
                <c:pt idx="8">
                  <c:v>0</c:v>
                </c:pt>
                <c:pt idx="9">
                  <c:v>69.5</c:v>
                </c:pt>
                <c:pt idx="10">
                  <c:v>194.5</c:v>
                </c:pt>
                <c:pt idx="11">
                  <c:v>376.5</c:v>
                </c:pt>
                <c:pt idx="12">
                  <c:v>391.5</c:v>
                </c:pt>
                <c:pt idx="13">
                  <c:v>393.5</c:v>
                </c:pt>
                <c:pt idx="14">
                  <c:v>393.5</c:v>
                </c:pt>
                <c:pt idx="15">
                  <c:v>393.5</c:v>
                </c:pt>
                <c:pt idx="16">
                  <c:v>393.5</c:v>
                </c:pt>
                <c:pt idx="17">
                  <c:v>394</c:v>
                </c:pt>
                <c:pt idx="18">
                  <c:v>408.5</c:v>
                </c:pt>
                <c:pt idx="19">
                  <c:v>410.5</c:v>
                </c:pt>
                <c:pt idx="20">
                  <c:v>489</c:v>
                </c:pt>
                <c:pt idx="21">
                  <c:v>493</c:v>
                </c:pt>
                <c:pt idx="22">
                  <c:v>501.5</c:v>
                </c:pt>
                <c:pt idx="23">
                  <c:v>518.5</c:v>
                </c:pt>
                <c:pt idx="24">
                  <c:v>614</c:v>
                </c:pt>
                <c:pt idx="25">
                  <c:v>614</c:v>
                </c:pt>
                <c:pt idx="26">
                  <c:v>702.5</c:v>
                </c:pt>
                <c:pt idx="27">
                  <c:v>709</c:v>
                </c:pt>
                <c:pt idx="28">
                  <c:v>724</c:v>
                </c:pt>
                <c:pt idx="29">
                  <c:v>813</c:v>
                </c:pt>
                <c:pt idx="30">
                  <c:v>921</c:v>
                </c:pt>
                <c:pt idx="31">
                  <c:v>921</c:v>
                </c:pt>
                <c:pt idx="32">
                  <c:v>975.5</c:v>
                </c:pt>
                <c:pt idx="33">
                  <c:v>1107</c:v>
                </c:pt>
                <c:pt idx="34">
                  <c:v>1134.5</c:v>
                </c:pt>
                <c:pt idx="35">
                  <c:v>1141</c:v>
                </c:pt>
                <c:pt idx="36">
                  <c:v>1355</c:v>
                </c:pt>
                <c:pt idx="37">
                  <c:v>1653.5</c:v>
                </c:pt>
                <c:pt idx="38">
                  <c:v>3555</c:v>
                </c:pt>
                <c:pt idx="39">
                  <c:v>4171</c:v>
                </c:pt>
                <c:pt idx="40">
                  <c:v>4279</c:v>
                </c:pt>
                <c:pt idx="41">
                  <c:v>4279</c:v>
                </c:pt>
                <c:pt idx="42">
                  <c:v>4374</c:v>
                </c:pt>
                <c:pt idx="43">
                  <c:v>4374</c:v>
                </c:pt>
                <c:pt idx="44">
                  <c:v>4499.5</c:v>
                </c:pt>
                <c:pt idx="45">
                  <c:v>4696</c:v>
                </c:pt>
                <c:pt idx="46">
                  <c:v>5211</c:v>
                </c:pt>
                <c:pt idx="47">
                  <c:v>5211.5</c:v>
                </c:pt>
                <c:pt idx="48">
                  <c:v>5224</c:v>
                </c:pt>
                <c:pt idx="49">
                  <c:v>5224.5</c:v>
                </c:pt>
                <c:pt idx="50">
                  <c:v>5228.5</c:v>
                </c:pt>
                <c:pt idx="51">
                  <c:v>5235</c:v>
                </c:pt>
                <c:pt idx="52">
                  <c:v>5239</c:v>
                </c:pt>
                <c:pt idx="53">
                  <c:v>5241.5</c:v>
                </c:pt>
                <c:pt idx="54">
                  <c:v>5317.5</c:v>
                </c:pt>
                <c:pt idx="55">
                  <c:v>5319.5</c:v>
                </c:pt>
                <c:pt idx="56">
                  <c:v>5327</c:v>
                </c:pt>
                <c:pt idx="57">
                  <c:v>5327</c:v>
                </c:pt>
                <c:pt idx="58">
                  <c:v>5327</c:v>
                </c:pt>
                <c:pt idx="59">
                  <c:v>5461.5</c:v>
                </c:pt>
                <c:pt idx="60">
                  <c:v>5533</c:v>
                </c:pt>
                <c:pt idx="61">
                  <c:v>5554</c:v>
                </c:pt>
                <c:pt idx="62">
                  <c:v>5638.5</c:v>
                </c:pt>
                <c:pt idx="63">
                  <c:v>5664</c:v>
                </c:pt>
                <c:pt idx="64">
                  <c:v>5664.5</c:v>
                </c:pt>
                <c:pt idx="65">
                  <c:v>5732</c:v>
                </c:pt>
                <c:pt idx="66">
                  <c:v>5732</c:v>
                </c:pt>
                <c:pt idx="67">
                  <c:v>5744</c:v>
                </c:pt>
                <c:pt idx="68">
                  <c:v>5749</c:v>
                </c:pt>
                <c:pt idx="69">
                  <c:v>5749.5</c:v>
                </c:pt>
                <c:pt idx="70">
                  <c:v>5777</c:v>
                </c:pt>
                <c:pt idx="71">
                  <c:v>5779.5</c:v>
                </c:pt>
                <c:pt idx="72">
                  <c:v>5850</c:v>
                </c:pt>
                <c:pt idx="73">
                  <c:v>5853.5</c:v>
                </c:pt>
                <c:pt idx="74">
                  <c:v>5855</c:v>
                </c:pt>
                <c:pt idx="75">
                  <c:v>5857.5</c:v>
                </c:pt>
                <c:pt idx="76">
                  <c:v>5865</c:v>
                </c:pt>
                <c:pt idx="77">
                  <c:v>5885.5</c:v>
                </c:pt>
                <c:pt idx="78">
                  <c:v>5891</c:v>
                </c:pt>
                <c:pt idx="79">
                  <c:v>5946</c:v>
                </c:pt>
                <c:pt idx="80">
                  <c:v>5948</c:v>
                </c:pt>
                <c:pt idx="81">
                  <c:v>5948</c:v>
                </c:pt>
                <c:pt idx="82">
                  <c:v>5948.5</c:v>
                </c:pt>
                <c:pt idx="83">
                  <c:v>5986</c:v>
                </c:pt>
                <c:pt idx="84">
                  <c:v>6039.5</c:v>
                </c:pt>
                <c:pt idx="85">
                  <c:v>6064.5</c:v>
                </c:pt>
                <c:pt idx="86">
                  <c:v>6807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0">
                  <c:v>0.62733509742100446</c:v>
                </c:pt>
                <c:pt idx="1">
                  <c:v>0.62718690510141051</c:v>
                </c:pt>
                <c:pt idx="2">
                  <c:v>0.62663118390293326</c:v>
                </c:pt>
                <c:pt idx="3">
                  <c:v>0.61901780348379498</c:v>
                </c:pt>
                <c:pt idx="4">
                  <c:v>0.61523889933414966</c:v>
                </c:pt>
                <c:pt idx="5">
                  <c:v>0.61277520202090052</c:v>
                </c:pt>
                <c:pt idx="6">
                  <c:v>0.60764404295496066</c:v>
                </c:pt>
                <c:pt idx="8">
                  <c:v>0.59853021529993378</c:v>
                </c:pt>
                <c:pt idx="9">
                  <c:v>0.59595537374698915</c:v>
                </c:pt>
                <c:pt idx="10">
                  <c:v>0.59132436375967878</c:v>
                </c:pt>
                <c:pt idx="11">
                  <c:v>0.58458161321815483</c:v>
                </c:pt>
                <c:pt idx="12">
                  <c:v>0.58402589201967758</c:v>
                </c:pt>
                <c:pt idx="13">
                  <c:v>0.58395179585988066</c:v>
                </c:pt>
                <c:pt idx="14">
                  <c:v>0.58395179585988066</c:v>
                </c:pt>
                <c:pt idx="15">
                  <c:v>0.58395179585988066</c:v>
                </c:pt>
                <c:pt idx="16">
                  <c:v>0.58395179585988066</c:v>
                </c:pt>
                <c:pt idx="17">
                  <c:v>0.58393327181993138</c:v>
                </c:pt>
                <c:pt idx="18">
                  <c:v>0.58339607466140342</c:v>
                </c:pt>
                <c:pt idx="19">
                  <c:v>0.58332197850160639</c:v>
                </c:pt>
                <c:pt idx="20">
                  <c:v>0.5804137042295755</c:v>
                </c:pt>
                <c:pt idx="21">
                  <c:v>0.58026551190998155</c:v>
                </c:pt>
                <c:pt idx="22">
                  <c:v>0.57995060323084446</c:v>
                </c:pt>
                <c:pt idx="23">
                  <c:v>0.57932078587257019</c:v>
                </c:pt>
                <c:pt idx="24">
                  <c:v>0.57578269424226514</c:v>
                </c:pt>
                <c:pt idx="25">
                  <c:v>0.57578269424226514</c:v>
                </c:pt>
                <c:pt idx="26">
                  <c:v>0.57250393917124931</c:v>
                </c:pt>
                <c:pt idx="27">
                  <c:v>0.57226312665190915</c:v>
                </c:pt>
                <c:pt idx="28">
                  <c:v>0.5717074054534319</c:v>
                </c:pt>
                <c:pt idx="29">
                  <c:v>0.5684101263424669</c:v>
                </c:pt>
                <c:pt idx="30">
                  <c:v>0.5644089337134307</c:v>
                </c:pt>
                <c:pt idx="31">
                  <c:v>0.5644089337134307</c:v>
                </c:pt>
                <c:pt idx="32">
                  <c:v>0.56238981335896343</c:v>
                </c:pt>
                <c:pt idx="33">
                  <c:v>0.55751799085231291</c:v>
                </c:pt>
                <c:pt idx="34">
                  <c:v>0.55649916865510463</c:v>
                </c:pt>
                <c:pt idx="35">
                  <c:v>0.55625835613576446</c:v>
                </c:pt>
                <c:pt idx="36">
                  <c:v>0.5483300670374891</c:v>
                </c:pt>
                <c:pt idx="37">
                  <c:v>0.53727121518779186</c:v>
                </c:pt>
                <c:pt idx="38">
                  <c:v>0.46682429126082603</c:v>
                </c:pt>
                <c:pt idx="39">
                  <c:v>0.44400267404336036</c:v>
                </c:pt>
                <c:pt idx="40">
                  <c:v>0.44000148141432416</c:v>
                </c:pt>
                <c:pt idx="41">
                  <c:v>0.44000148141432416</c:v>
                </c:pt>
                <c:pt idx="42">
                  <c:v>0.43648191382396828</c:v>
                </c:pt>
                <c:pt idx="43">
                  <c:v>0.43648191382396828</c:v>
                </c:pt>
                <c:pt idx="44">
                  <c:v>0.43183237979670863</c:v>
                </c:pt>
                <c:pt idx="45">
                  <c:v>0.42455243209665672</c:v>
                </c:pt>
                <c:pt idx="46">
                  <c:v>0.40547267094893785</c:v>
                </c:pt>
                <c:pt idx="47">
                  <c:v>0.40545414690898862</c:v>
                </c:pt>
                <c:pt idx="48">
                  <c:v>0.40499104591025759</c:v>
                </c:pt>
                <c:pt idx="49">
                  <c:v>0.4049725218703083</c:v>
                </c:pt>
                <c:pt idx="50">
                  <c:v>0.40482432955071435</c:v>
                </c:pt>
                <c:pt idx="51">
                  <c:v>0.40458351703137424</c:v>
                </c:pt>
                <c:pt idx="52">
                  <c:v>0.40443532471178034</c:v>
                </c:pt>
                <c:pt idx="53">
                  <c:v>0.40434270451203413</c:v>
                </c:pt>
                <c:pt idx="54">
                  <c:v>0.40152705043974934</c:v>
                </c:pt>
                <c:pt idx="55">
                  <c:v>0.40145295427995242</c:v>
                </c:pt>
                <c:pt idx="56">
                  <c:v>0.4011750936807138</c:v>
                </c:pt>
                <c:pt idx="57">
                  <c:v>0.4011750936807138</c:v>
                </c:pt>
                <c:pt idx="58">
                  <c:v>0.4011750936807138</c:v>
                </c:pt>
                <c:pt idx="59">
                  <c:v>0.39619212693436778</c:v>
                </c:pt>
                <c:pt idx="60">
                  <c:v>0.39354318922162623</c:v>
                </c:pt>
                <c:pt idx="61">
                  <c:v>0.39276517954375811</c:v>
                </c:pt>
                <c:pt idx="62">
                  <c:v>0.38963461679233624</c:v>
                </c:pt>
                <c:pt idx="63">
                  <c:v>0.38868989075492494</c:v>
                </c:pt>
                <c:pt idx="64">
                  <c:v>0.38867136671497571</c:v>
                </c:pt>
                <c:pt idx="65">
                  <c:v>0.38617062132182811</c:v>
                </c:pt>
                <c:pt idx="66">
                  <c:v>0.38617062132182811</c:v>
                </c:pt>
                <c:pt idx="67">
                  <c:v>0.38572604436304631</c:v>
                </c:pt>
                <c:pt idx="68">
                  <c:v>0.38554080396355389</c:v>
                </c:pt>
                <c:pt idx="69">
                  <c:v>0.38552227992360466</c:v>
                </c:pt>
                <c:pt idx="70">
                  <c:v>0.38450345772639638</c:v>
                </c:pt>
                <c:pt idx="71">
                  <c:v>0.38441083752665017</c:v>
                </c:pt>
                <c:pt idx="72">
                  <c:v>0.38179894789380708</c:v>
                </c:pt>
                <c:pt idx="73">
                  <c:v>0.38166927961416242</c:v>
                </c:pt>
                <c:pt idx="74">
                  <c:v>0.38161370749431467</c:v>
                </c:pt>
                <c:pt idx="75">
                  <c:v>0.38152108729456846</c:v>
                </c:pt>
                <c:pt idx="76">
                  <c:v>0.38124322669532984</c:v>
                </c:pt>
                <c:pt idx="77">
                  <c:v>0.3804837410574109</c:v>
                </c:pt>
                <c:pt idx="78">
                  <c:v>0.38027997661796931</c:v>
                </c:pt>
                <c:pt idx="79">
                  <c:v>0.37824233222355269</c:v>
                </c:pt>
                <c:pt idx="80">
                  <c:v>0.37816823606375571</c:v>
                </c:pt>
                <c:pt idx="81">
                  <c:v>0.37816823606375571</c:v>
                </c:pt>
                <c:pt idx="82">
                  <c:v>0.37814971202380648</c:v>
                </c:pt>
                <c:pt idx="83">
                  <c:v>0.37676040902761337</c:v>
                </c:pt>
                <c:pt idx="84">
                  <c:v>0.37477833675304451</c:v>
                </c:pt>
                <c:pt idx="85">
                  <c:v>0.37385213475558243</c:v>
                </c:pt>
                <c:pt idx="86">
                  <c:v>0.34634393543095865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AD-4BD5-831C-D296E2B0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659088"/>
        <c:axId val="1"/>
      </c:scatterChart>
      <c:valAx>
        <c:axId val="711659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7381316998473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3598774885145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59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51607963246554"/>
          <c:y val="0.9204921861831491"/>
          <c:w val="0.7503828483920367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0</xdr:row>
      <xdr:rowOff>114300</xdr:rowOff>
    </xdr:from>
    <xdr:to>
      <xdr:col>19</xdr:col>
      <xdr:colOff>0</xdr:colOff>
      <xdr:row>18</xdr:row>
      <xdr:rowOff>133350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EA7A27C4-145D-EFD6-50BB-10369259A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609600</xdr:colOff>
      <xdr:row>0</xdr:row>
      <xdr:rowOff>142875</xdr:rowOff>
    </xdr:from>
    <xdr:to>
      <xdr:col>27</xdr:col>
      <xdr:colOff>657225</xdr:colOff>
      <xdr:row>18</xdr:row>
      <xdr:rowOff>171450</xdr:rowOff>
    </xdr:to>
    <xdr:graphicFrame macro="">
      <xdr:nvGraphicFramePr>
        <xdr:cNvPr id="1031" name="Chart 2">
          <a:extLst>
            <a:ext uri="{FF2B5EF4-FFF2-40B4-BE49-F238E27FC236}">
              <a16:creationId xmlns:a16="http://schemas.microsoft.com/office/drawing/2014/main" id="{98C11835-FC23-D4AF-E3C7-DBA0332DA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70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konkoly.hu/cgi-bin/IBVS?5933" TargetMode="External"/><Relationship Id="rId26" Type="http://schemas.openxmlformats.org/officeDocument/2006/relationships/hyperlink" Target="http://www.konkoly.hu/cgi-bin/IBVS?5972" TargetMode="External"/><Relationship Id="rId39" Type="http://schemas.openxmlformats.org/officeDocument/2006/relationships/hyperlink" Target="http://www.konkoly.hu/cgi-bin/IBVS?6093" TargetMode="External"/><Relationship Id="rId3" Type="http://schemas.openxmlformats.org/officeDocument/2006/relationships/hyperlink" Target="http://www.konkoly.hu/cgi-bin/IBVS?5670" TargetMode="External"/><Relationship Id="rId21" Type="http://schemas.openxmlformats.org/officeDocument/2006/relationships/hyperlink" Target="http://www.konkoly.hu/cgi-bin/IBVS?5972" TargetMode="External"/><Relationship Id="rId34" Type="http://schemas.openxmlformats.org/officeDocument/2006/relationships/hyperlink" Target="http://www.konkoly.hu/cgi-bin/IBVS?6046" TargetMode="External"/><Relationship Id="rId7" Type="http://schemas.openxmlformats.org/officeDocument/2006/relationships/hyperlink" Target="http://www.konkoly.hu/cgi-bin/IBVS?5670" TargetMode="External"/><Relationship Id="rId12" Type="http://schemas.openxmlformats.org/officeDocument/2006/relationships/hyperlink" Target="http://www.konkoly.hu/cgi-bin/IBVS?5764" TargetMode="External"/><Relationship Id="rId17" Type="http://schemas.openxmlformats.org/officeDocument/2006/relationships/hyperlink" Target="http://www.bav-astro.de/sfs/BAVM_link.php?BAVMnr=203" TargetMode="External"/><Relationship Id="rId25" Type="http://schemas.openxmlformats.org/officeDocument/2006/relationships/hyperlink" Target="http://www.konkoly.hu/cgi-bin/IBVS?5972" TargetMode="External"/><Relationship Id="rId33" Type="http://schemas.openxmlformats.org/officeDocument/2006/relationships/hyperlink" Target="http://www.konkoly.hu/cgi-bin/IBVS?6046" TargetMode="External"/><Relationship Id="rId38" Type="http://schemas.openxmlformats.org/officeDocument/2006/relationships/hyperlink" Target="http://www.konkoly.hu/cgi-bin/IBVS?6098" TargetMode="External"/><Relationship Id="rId2" Type="http://schemas.openxmlformats.org/officeDocument/2006/relationships/hyperlink" Target="http://www.konkoly.hu/cgi-bin/IBVS?4555" TargetMode="External"/><Relationship Id="rId16" Type="http://schemas.openxmlformats.org/officeDocument/2006/relationships/hyperlink" Target="http://www.konkoly.hu/cgi-bin/IBVS?5910" TargetMode="External"/><Relationship Id="rId20" Type="http://schemas.openxmlformats.org/officeDocument/2006/relationships/hyperlink" Target="http://www.bav-astro.de/sfs/BAVM_link.php?BAVMnr=212" TargetMode="External"/><Relationship Id="rId29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bav-astro.de/sfs/BAVM_link.php?BAVMnr=60" TargetMode="External"/><Relationship Id="rId6" Type="http://schemas.openxmlformats.org/officeDocument/2006/relationships/hyperlink" Target="http://www.konkoly.hu/cgi-bin/IBVS?5670" TargetMode="External"/><Relationship Id="rId11" Type="http://schemas.openxmlformats.org/officeDocument/2006/relationships/hyperlink" Target="http://www.konkoly.hu/cgi-bin/IBVS?5764" TargetMode="External"/><Relationship Id="rId24" Type="http://schemas.openxmlformats.org/officeDocument/2006/relationships/hyperlink" Target="http://www.konkoly.hu/cgi-bin/IBVS?5972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670" TargetMode="External"/><Relationship Id="rId15" Type="http://schemas.openxmlformats.org/officeDocument/2006/relationships/hyperlink" Target="http://www.bav-astro.de/sfs/BAVM_link.php?BAVMnr=193" TargetMode="External"/><Relationship Id="rId23" Type="http://schemas.openxmlformats.org/officeDocument/2006/relationships/hyperlink" Target="http://www.konkoly.hu/cgi-bin/IBVS?5972" TargetMode="External"/><Relationship Id="rId28" Type="http://schemas.openxmlformats.org/officeDocument/2006/relationships/hyperlink" Target="http://www.konkoly.hu/cgi-bin/IBVS?6014" TargetMode="External"/><Relationship Id="rId36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5745" TargetMode="External"/><Relationship Id="rId19" Type="http://schemas.openxmlformats.org/officeDocument/2006/relationships/hyperlink" Target="http://www.bav-astro.de/sfs/BAVM_link.php?BAVMnr=212" TargetMode="External"/><Relationship Id="rId31" Type="http://schemas.openxmlformats.org/officeDocument/2006/relationships/hyperlink" Target="http://www.konkoly.hu/cgi-bin/IBVS?6014" TargetMode="External"/><Relationship Id="rId4" Type="http://schemas.openxmlformats.org/officeDocument/2006/relationships/hyperlink" Target="http://www.konkoly.hu/cgi-bin/IBVS?5670" TargetMode="External"/><Relationship Id="rId9" Type="http://schemas.openxmlformats.org/officeDocument/2006/relationships/hyperlink" Target="http://www.konkoly.hu/cgi-bin/IBVS?5745" TargetMode="External"/><Relationship Id="rId14" Type="http://schemas.openxmlformats.org/officeDocument/2006/relationships/hyperlink" Target="http://www.konkoly.hu/cgi-bin/IBVS?5713" TargetMode="External"/><Relationship Id="rId22" Type="http://schemas.openxmlformats.org/officeDocument/2006/relationships/hyperlink" Target="http://www.konkoly.hu/cgi-bin/IBVS?5972" TargetMode="External"/><Relationship Id="rId27" Type="http://schemas.openxmlformats.org/officeDocument/2006/relationships/hyperlink" Target="http://www.bav-astro.de/sfs/BAVM_link.php?BAVMnr=220" TargetMode="External"/><Relationship Id="rId30" Type="http://schemas.openxmlformats.org/officeDocument/2006/relationships/hyperlink" Target="http://www.konkoly.hu/cgi-bin/IBVS?5992" TargetMode="External"/><Relationship Id="rId35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7"/>
  <sheetViews>
    <sheetView tabSelected="1" workbookViewId="0">
      <pane xSplit="14" ySplit="21" topLeftCell="O97" activePane="bottomRight" state="frozen"/>
      <selection pane="topRight" activeCell="O1" sqref="O1"/>
      <selection pane="bottomLeft" activeCell="A22" sqref="A22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16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28</v>
      </c>
    </row>
    <row r="2" spans="1:7" x14ac:dyDescent="0.2">
      <c r="A2" t="s">
        <v>17</v>
      </c>
      <c r="B2" s="16" t="s">
        <v>39</v>
      </c>
      <c r="C2" s="11" t="s">
        <v>31</v>
      </c>
    </row>
    <row r="3" spans="1:7" ht="13.5" thickBot="1" x14ac:dyDescent="0.25"/>
    <row r="4" spans="1:7" ht="14.25" thickTop="1" thickBot="1" x14ac:dyDescent="0.25">
      <c r="A4" s="7" t="s">
        <v>0</v>
      </c>
      <c r="C4" s="3">
        <v>35453.235000000001</v>
      </c>
      <c r="D4" s="4">
        <v>3.4627659999999998</v>
      </c>
    </row>
    <row r="5" spans="1:7" ht="13.5" thickTop="1" x14ac:dyDescent="0.2">
      <c r="A5" s="66" t="s">
        <v>381</v>
      </c>
      <c r="C5" s="67">
        <v>-9.5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35453.235000000001</v>
      </c>
    </row>
    <row r="8" spans="1:7" x14ac:dyDescent="0.2">
      <c r="A8" t="s">
        <v>3</v>
      </c>
      <c r="C8">
        <f>+D4</f>
        <v>3.4627659999999998</v>
      </c>
    </row>
    <row r="9" spans="1:7" x14ac:dyDescent="0.2">
      <c r="A9" s="19" t="s">
        <v>42</v>
      </c>
      <c r="B9" s="19"/>
      <c r="C9" s="20">
        <v>21</v>
      </c>
      <c r="D9" s="20">
        <v>21</v>
      </c>
    </row>
    <row r="10" spans="1:7" ht="13.5" thickBot="1" x14ac:dyDescent="0.25">
      <c r="A10" s="15"/>
      <c r="B10" s="15"/>
      <c r="C10" s="6" t="s">
        <v>32</v>
      </c>
      <c r="D10" s="6" t="s">
        <v>33</v>
      </c>
    </row>
    <row r="11" spans="1:7" x14ac:dyDescent="0.2">
      <c r="A11" s="15" t="s">
        <v>14</v>
      </c>
      <c r="B11" s="15"/>
      <c r="C11" s="21">
        <f ca="1">INTERCEPT(INDIRECT(C14):R$935,INDIRECT(C13):$F$935)</f>
        <v>-1.1930654095458779E-2</v>
      </c>
      <c r="D11" s="21">
        <f ca="1">INTERCEPT(INDIRECT(D14):S$935,INDIRECT(D13):$F$935)</f>
        <v>0.59853021529993378</v>
      </c>
    </row>
    <row r="12" spans="1:7" x14ac:dyDescent="0.2">
      <c r="A12" s="15" t="s">
        <v>15</v>
      </c>
      <c r="B12" s="15"/>
      <c r="C12" s="21">
        <f ca="1">SLOPE(INDIRECT(C14):R$935,INDIRECT(C13):$F$935)</f>
        <v>1.6655448383995886E-5</v>
      </c>
      <c r="D12" s="21">
        <f ca="1">SLOPE(INDIRECT(D14):S$935,INDIRECT(D13):$F$935)</f>
        <v>-3.7048079898483197E-5</v>
      </c>
      <c r="F12" s="19" t="s">
        <v>375</v>
      </c>
      <c r="G12" s="62">
        <v>1</v>
      </c>
    </row>
    <row r="13" spans="1:7" x14ac:dyDescent="0.2">
      <c r="A13" s="19" t="s">
        <v>43</v>
      </c>
      <c r="B13" s="19"/>
      <c r="C13" s="20" t="str">
        <f>"F"&amp;C9</f>
        <v>F21</v>
      </c>
      <c r="D13" s="20" t="str">
        <f>"F"&amp;D9</f>
        <v>F21</v>
      </c>
      <c r="F13" s="19" t="s">
        <v>376</v>
      </c>
      <c r="G13" s="63">
        <f ca="1">NOW()+15018.5+$C$5/24</f>
        <v>59957.727035995369</v>
      </c>
    </row>
    <row r="14" spans="1:7" x14ac:dyDescent="0.2">
      <c r="A14" s="19" t="s">
        <v>44</v>
      </c>
      <c r="B14" s="19"/>
      <c r="C14" s="20" t="str">
        <f>"R"&amp;C9</f>
        <v>R21</v>
      </c>
      <c r="D14" s="20" t="str">
        <f>"S"&amp;D9</f>
        <v>S21</v>
      </c>
      <c r="F14" s="19" t="s">
        <v>377</v>
      </c>
      <c r="G14" s="21">
        <f ca="1">ROUND(2*(G13-$C$7)/$C$8,0)/2+G12</f>
        <v>7077.5</v>
      </c>
    </row>
    <row r="15" spans="1:7" x14ac:dyDescent="0.2">
      <c r="A15" s="22" t="s">
        <v>16</v>
      </c>
      <c r="B15" s="15"/>
      <c r="C15" s="23">
        <f ca="1">($C7+C11)+($C8+C12)*INT(MAX($F21:$F3533))</f>
        <v>59024.384604983054</v>
      </c>
      <c r="D15" s="23">
        <f ca="1">($C7+D11)+($C8+D12)*INT(MAX($F21:$F3533))</f>
        <v>59024.629505935431</v>
      </c>
      <c r="F15" s="19" t="s">
        <v>378</v>
      </c>
      <c r="G15" s="10">
        <f ca="1">ROUND(2*(G13-$C$15)/$C$16,0)/2+G12</f>
        <v>270.5</v>
      </c>
    </row>
    <row r="16" spans="1:7" x14ac:dyDescent="0.2">
      <c r="A16" s="24" t="s">
        <v>4</v>
      </c>
      <c r="B16" s="15"/>
      <c r="C16" s="25">
        <f ca="1">+$C8+C12</f>
        <v>3.4627826554483838</v>
      </c>
      <c r="D16" s="21">
        <f ca="1">+$C8+D12</f>
        <v>3.4627289519201012</v>
      </c>
      <c r="F16" s="19" t="s">
        <v>379</v>
      </c>
      <c r="G16" s="64">
        <f ca="1">+$C$15+$C$16*G15-15018.5-$C$5/24</f>
        <v>44942.963146615177</v>
      </c>
    </row>
    <row r="17" spans="1:19" ht="13.5" thickBot="1" x14ac:dyDescent="0.25">
      <c r="A17" s="14" t="s">
        <v>45</v>
      </c>
      <c r="C17">
        <f>COUNT(C21:C1247)</f>
        <v>87</v>
      </c>
      <c r="G17" s="65" t="s">
        <v>380</v>
      </c>
    </row>
    <row r="18" spans="1:19" ht="14.25" thickTop="1" thickBot="1" x14ac:dyDescent="0.25">
      <c r="A18" s="7" t="s">
        <v>46</v>
      </c>
      <c r="C18" s="3">
        <f ca="1">+C15</f>
        <v>59024.384604983054</v>
      </c>
      <c r="D18" s="4">
        <f ca="1">+C16</f>
        <v>3.4627826554483838</v>
      </c>
      <c r="E18" s="26">
        <f>R19</f>
        <v>48</v>
      </c>
    </row>
    <row r="19" spans="1:19" ht="14.25" thickTop="1" thickBot="1" x14ac:dyDescent="0.25">
      <c r="A19" s="7" t="s">
        <v>47</v>
      </c>
      <c r="C19" s="3">
        <f ca="1">+D15</f>
        <v>59024.629505935431</v>
      </c>
      <c r="D19" s="4">
        <f ca="1">+D16</f>
        <v>3.4627289519201012</v>
      </c>
      <c r="E19" s="26">
        <f>S19</f>
        <v>38</v>
      </c>
      <c r="R19">
        <f>COUNT(R21:R931)</f>
        <v>48</v>
      </c>
      <c r="S19">
        <f>COUNT(S21:S931)</f>
        <v>38</v>
      </c>
    </row>
    <row r="20" spans="1:19" ht="14.25" thickTop="1" thickBot="1" x14ac:dyDescent="0.25">
      <c r="A20" s="6" t="s">
        <v>5</v>
      </c>
      <c r="B20" s="6" t="s">
        <v>6</v>
      </c>
      <c r="C20" s="6" t="s">
        <v>7</v>
      </c>
      <c r="D20" s="6" t="s">
        <v>12</v>
      </c>
      <c r="E20" s="6" t="s">
        <v>8</v>
      </c>
      <c r="F20" s="6" t="s">
        <v>9</v>
      </c>
      <c r="G20" s="6" t="s">
        <v>10</v>
      </c>
      <c r="H20" s="9" t="s">
        <v>62</v>
      </c>
      <c r="I20" s="9" t="s">
        <v>65</v>
      </c>
      <c r="J20" s="9" t="s">
        <v>59</v>
      </c>
      <c r="K20" s="9" t="s">
        <v>57</v>
      </c>
      <c r="L20" s="9" t="s">
        <v>18</v>
      </c>
      <c r="M20" s="9" t="s">
        <v>19</v>
      </c>
      <c r="N20" s="9" t="s">
        <v>20</v>
      </c>
      <c r="O20" s="9" t="s">
        <v>34</v>
      </c>
      <c r="P20" s="8" t="s">
        <v>35</v>
      </c>
      <c r="Q20" s="6" t="s">
        <v>36</v>
      </c>
      <c r="R20" s="13" t="s">
        <v>32</v>
      </c>
      <c r="S20" s="13" t="s">
        <v>33</v>
      </c>
    </row>
    <row r="21" spans="1:19" x14ac:dyDescent="0.2">
      <c r="A21" s="51" t="s">
        <v>72</v>
      </c>
      <c r="B21" s="52" t="s">
        <v>26</v>
      </c>
      <c r="C21" s="51">
        <v>32761.49</v>
      </c>
      <c r="D21" s="51" t="s">
        <v>65</v>
      </c>
      <c r="E21">
        <f t="shared" ref="E21:E52" si="0">+(C21-C$7)/C$8</f>
        <v>-777.33956033991296</v>
      </c>
      <c r="F21">
        <f t="shared" ref="F21:F52" si="1">ROUND(2*E21,0)/2</f>
        <v>-777.5</v>
      </c>
      <c r="G21">
        <f t="shared" ref="G21:G52" si="2">+C21-(C$7+F21*C$8)</f>
        <v>0.55556500000238884</v>
      </c>
      <c r="I21">
        <f t="shared" ref="I21:I27" si="3">+G21</f>
        <v>0.55556500000238884</v>
      </c>
      <c r="O21">
        <f t="shared" ref="O21:O27" ca="1" si="4">+C$11+C$12*F21</f>
        <v>-2.4880265214015582E-2</v>
      </c>
      <c r="P21">
        <f t="shared" ref="P21:P27" ca="1" si="5">+D$11+D$12*$F21</f>
        <v>0.62733509742100446</v>
      </c>
      <c r="Q21" s="2">
        <f t="shared" ref="Q21:Q52" si="6">+C21-15018.5</f>
        <v>17742.990000000002</v>
      </c>
      <c r="S21">
        <f>G21</f>
        <v>0.55556500000238884</v>
      </c>
    </row>
    <row r="22" spans="1:19" x14ac:dyDescent="0.2">
      <c r="A22" s="51" t="s">
        <v>77</v>
      </c>
      <c r="B22" s="52" t="s">
        <v>26</v>
      </c>
      <c r="C22" s="51">
        <v>32775.42</v>
      </c>
      <c r="D22" s="51" t="s">
        <v>65</v>
      </c>
      <c r="E22">
        <f t="shared" si="0"/>
        <v>-773.31676469042452</v>
      </c>
      <c r="F22">
        <f t="shared" si="1"/>
        <v>-773.5</v>
      </c>
      <c r="G22">
        <f t="shared" si="2"/>
        <v>0.63450100000045495</v>
      </c>
      <c r="I22">
        <f t="shared" si="3"/>
        <v>0.63450100000045495</v>
      </c>
      <c r="O22">
        <f t="shared" ca="1" si="4"/>
        <v>-2.4813643420479599E-2</v>
      </c>
      <c r="P22">
        <f t="shared" ca="1" si="5"/>
        <v>0.62718690510141051</v>
      </c>
      <c r="Q22" s="2">
        <f t="shared" si="6"/>
        <v>17756.919999999998</v>
      </c>
      <c r="S22">
        <f>G22</f>
        <v>0.63450100000045495</v>
      </c>
    </row>
    <row r="23" spans="1:19" x14ac:dyDescent="0.2">
      <c r="A23" s="51" t="s">
        <v>72</v>
      </c>
      <c r="B23" s="52" t="s">
        <v>26</v>
      </c>
      <c r="C23" s="51">
        <v>32827.29</v>
      </c>
      <c r="D23" s="51" t="s">
        <v>65</v>
      </c>
      <c r="E23">
        <f t="shared" si="0"/>
        <v>-758.33741003579212</v>
      </c>
      <c r="F23">
        <f t="shared" si="1"/>
        <v>-758.5</v>
      </c>
      <c r="G23">
        <f t="shared" si="2"/>
        <v>0.56301099999836879</v>
      </c>
      <c r="I23">
        <f t="shared" si="3"/>
        <v>0.56301099999836879</v>
      </c>
      <c r="O23">
        <f t="shared" ca="1" si="4"/>
        <v>-2.4563811694719658E-2</v>
      </c>
      <c r="P23">
        <f t="shared" ca="1" si="5"/>
        <v>0.62663118390293326</v>
      </c>
      <c r="Q23" s="2">
        <f t="shared" si="6"/>
        <v>17808.79</v>
      </c>
      <c r="S23">
        <f>G23</f>
        <v>0.56301099999836879</v>
      </c>
    </row>
    <row r="24" spans="1:19" x14ac:dyDescent="0.2">
      <c r="A24" s="51" t="s">
        <v>77</v>
      </c>
      <c r="B24" s="52" t="s">
        <v>30</v>
      </c>
      <c r="C24" s="51">
        <v>33538.32</v>
      </c>
      <c r="D24" s="51" t="s">
        <v>65</v>
      </c>
      <c r="E24">
        <f t="shared" si="0"/>
        <v>-553.00156002455867</v>
      </c>
      <c r="F24">
        <f t="shared" si="1"/>
        <v>-553</v>
      </c>
      <c r="G24">
        <f t="shared" si="2"/>
        <v>-5.4020000025047921E-3</v>
      </c>
      <c r="I24">
        <f t="shared" si="3"/>
        <v>-5.4020000025047921E-3</v>
      </c>
      <c r="O24">
        <f t="shared" ca="1" si="4"/>
        <v>-2.1141117051808503E-2</v>
      </c>
      <c r="P24">
        <f t="shared" ca="1" si="5"/>
        <v>0.61901780348379498</v>
      </c>
      <c r="Q24" s="2">
        <f t="shared" si="6"/>
        <v>18519.82</v>
      </c>
      <c r="R24">
        <f>G24</f>
        <v>-5.4020000025047921E-3</v>
      </c>
    </row>
    <row r="25" spans="1:19" x14ac:dyDescent="0.2">
      <c r="A25" s="51" t="s">
        <v>72</v>
      </c>
      <c r="B25" s="52" t="s">
        <v>30</v>
      </c>
      <c r="C25" s="51">
        <v>33891.455000000002</v>
      </c>
      <c r="D25" s="51" t="s">
        <v>65</v>
      </c>
      <c r="E25">
        <f t="shared" si="0"/>
        <v>-451.02094683845195</v>
      </c>
      <c r="F25">
        <f t="shared" si="1"/>
        <v>-451</v>
      </c>
      <c r="G25">
        <f t="shared" si="2"/>
        <v>-7.2533999998995569E-2</v>
      </c>
      <c r="I25">
        <f t="shared" si="3"/>
        <v>-7.2533999998995569E-2</v>
      </c>
      <c r="O25">
        <f t="shared" ca="1" si="4"/>
        <v>-1.9442261316640924E-2</v>
      </c>
      <c r="P25">
        <f t="shared" ca="1" si="5"/>
        <v>0.61523889933414966</v>
      </c>
      <c r="Q25" s="2">
        <f t="shared" si="6"/>
        <v>18872.955000000002</v>
      </c>
      <c r="R25">
        <f>G25</f>
        <v>-7.2533999998995569E-2</v>
      </c>
    </row>
    <row r="26" spans="1:19" x14ac:dyDescent="0.2">
      <c r="A26" s="51" t="s">
        <v>77</v>
      </c>
      <c r="B26" s="52" t="s">
        <v>26</v>
      </c>
      <c r="C26" s="51">
        <v>34122.474999999999</v>
      </c>
      <c r="D26" s="51" t="s">
        <v>65</v>
      </c>
      <c r="E26">
        <f t="shared" si="0"/>
        <v>-384.30549450930329</v>
      </c>
      <c r="F26">
        <f t="shared" si="1"/>
        <v>-384.5</v>
      </c>
      <c r="G26">
        <f t="shared" si="2"/>
        <v>0.67352699999901233</v>
      </c>
      <c r="I26">
        <f t="shared" si="3"/>
        <v>0.67352699999901233</v>
      </c>
      <c r="O26">
        <f t="shared" ca="1" si="4"/>
        <v>-1.8334673999105197E-2</v>
      </c>
      <c r="P26">
        <f t="shared" ca="1" si="5"/>
        <v>0.61277520202090052</v>
      </c>
      <c r="Q26" s="2">
        <f t="shared" si="6"/>
        <v>19103.974999999999</v>
      </c>
      <c r="S26">
        <f>G26</f>
        <v>0.67352699999901233</v>
      </c>
    </row>
    <row r="27" spans="1:19" x14ac:dyDescent="0.2">
      <c r="A27" s="51" t="s">
        <v>77</v>
      </c>
      <c r="B27" s="52" t="s">
        <v>30</v>
      </c>
      <c r="C27" s="51">
        <v>34601.387000000002</v>
      </c>
      <c r="D27" s="51" t="s">
        <v>65</v>
      </c>
      <c r="E27">
        <f t="shared" si="0"/>
        <v>-246.002184380925</v>
      </c>
      <c r="F27">
        <f t="shared" si="1"/>
        <v>-246</v>
      </c>
      <c r="G27">
        <f t="shared" si="2"/>
        <v>-7.5639999995473772E-3</v>
      </c>
      <c r="I27">
        <f t="shared" si="3"/>
        <v>-7.5639999995473772E-3</v>
      </c>
      <c r="O27">
        <f t="shared" ca="1" si="4"/>
        <v>-1.6027894397921766E-2</v>
      </c>
      <c r="P27">
        <f t="shared" ca="1" si="5"/>
        <v>0.60764404295496066</v>
      </c>
      <c r="Q27" s="2">
        <f t="shared" si="6"/>
        <v>19582.887000000002</v>
      </c>
      <c r="R27">
        <f>G27</f>
        <v>-7.5639999995473772E-3</v>
      </c>
    </row>
    <row r="28" spans="1:19" x14ac:dyDescent="0.2">
      <c r="A28" t="s">
        <v>11</v>
      </c>
      <c r="C28" s="17">
        <v>35453.235000000001</v>
      </c>
      <c r="D28" s="17" t="s">
        <v>13</v>
      </c>
      <c r="E28">
        <f t="shared" si="0"/>
        <v>0</v>
      </c>
      <c r="F28">
        <f t="shared" si="1"/>
        <v>0</v>
      </c>
      <c r="G28">
        <f t="shared" si="2"/>
        <v>0</v>
      </c>
      <c r="H28">
        <f>+G28</f>
        <v>0</v>
      </c>
      <c r="Q28" s="2">
        <f t="shared" si="6"/>
        <v>20434.735000000001</v>
      </c>
    </row>
    <row r="29" spans="1:19" x14ac:dyDescent="0.2">
      <c r="A29" s="51" t="s">
        <v>77</v>
      </c>
      <c r="B29" s="52" t="s">
        <v>30</v>
      </c>
      <c r="C29" s="51">
        <v>35453.25</v>
      </c>
      <c r="D29" s="51" t="s">
        <v>65</v>
      </c>
      <c r="E29">
        <f t="shared" si="0"/>
        <v>4.3317971816224151E-3</v>
      </c>
      <c r="F29">
        <f t="shared" si="1"/>
        <v>0</v>
      </c>
      <c r="G29">
        <f t="shared" si="2"/>
        <v>1.4999999999417923E-2</v>
      </c>
      <c r="I29">
        <f t="shared" ref="I29:I58" si="7">+G29</f>
        <v>1.4999999999417923E-2</v>
      </c>
      <c r="O29">
        <f t="shared" ref="O29:O60" ca="1" si="8">+C$11+C$12*F29</f>
        <v>-1.1930654095458779E-2</v>
      </c>
      <c r="P29">
        <f t="shared" ref="P29:P60" ca="1" si="9">+D$11+D$12*$F29</f>
        <v>0.59853021529993378</v>
      </c>
      <c r="Q29" s="2">
        <f t="shared" si="6"/>
        <v>20434.75</v>
      </c>
      <c r="R29">
        <f>G29</f>
        <v>1.4999999999417923E-2</v>
      </c>
    </row>
    <row r="30" spans="1:19" x14ac:dyDescent="0.2">
      <c r="A30" s="51" t="s">
        <v>100</v>
      </c>
      <c r="B30" s="52" t="s">
        <v>26</v>
      </c>
      <c r="C30" s="51">
        <v>35694.525000000001</v>
      </c>
      <c r="D30" s="51" t="s">
        <v>65</v>
      </c>
      <c r="E30">
        <f t="shared" si="0"/>
        <v>69.681289466282408</v>
      </c>
      <c r="F30">
        <f t="shared" si="1"/>
        <v>69.5</v>
      </c>
      <c r="G30">
        <f t="shared" si="2"/>
        <v>0.62776300000405172</v>
      </c>
      <c r="I30">
        <f t="shared" si="7"/>
        <v>0.62776300000405172</v>
      </c>
      <c r="O30">
        <f t="shared" ca="1" si="8"/>
        <v>-1.0773100432771065E-2</v>
      </c>
      <c r="P30">
        <f t="shared" ca="1" si="9"/>
        <v>0.59595537374698915</v>
      </c>
      <c r="Q30" s="2">
        <f t="shared" si="6"/>
        <v>20676.025000000001</v>
      </c>
      <c r="S30">
        <f t="shared" ref="S30:S37" si="10">G30</f>
        <v>0.62776300000405172</v>
      </c>
    </row>
    <row r="31" spans="1:19" x14ac:dyDescent="0.2">
      <c r="A31" s="51" t="s">
        <v>100</v>
      </c>
      <c r="B31" s="52" t="s">
        <v>26</v>
      </c>
      <c r="C31" s="51">
        <v>36127.321000000004</v>
      </c>
      <c r="D31" s="51" t="s">
        <v>65</v>
      </c>
      <c r="E31">
        <f t="shared" si="0"/>
        <v>194.66692233896342</v>
      </c>
      <c r="F31">
        <f t="shared" si="1"/>
        <v>194.5</v>
      </c>
      <c r="G31">
        <f t="shared" si="2"/>
        <v>0.57801300000573974</v>
      </c>
      <c r="I31">
        <f t="shared" si="7"/>
        <v>0.57801300000573974</v>
      </c>
      <c r="O31">
        <f t="shared" ca="1" si="8"/>
        <v>-8.6911693847715778E-3</v>
      </c>
      <c r="P31">
        <f t="shared" ca="1" si="9"/>
        <v>0.59132436375967878</v>
      </c>
      <c r="Q31" s="2">
        <f t="shared" si="6"/>
        <v>21108.821000000004</v>
      </c>
      <c r="S31">
        <f t="shared" si="10"/>
        <v>0.57801300000573974</v>
      </c>
    </row>
    <row r="32" spans="1:19" x14ac:dyDescent="0.2">
      <c r="A32" s="51" t="s">
        <v>100</v>
      </c>
      <c r="B32" s="52" t="s">
        <v>26</v>
      </c>
      <c r="C32" s="51">
        <v>36757.523000000001</v>
      </c>
      <c r="D32" s="51" t="s">
        <v>65</v>
      </c>
      <c r="E32">
        <f t="shared" si="0"/>
        <v>376.66073884287897</v>
      </c>
      <c r="F32">
        <f t="shared" si="1"/>
        <v>376.5</v>
      </c>
      <c r="G32">
        <f t="shared" si="2"/>
        <v>0.55660100000386592</v>
      </c>
      <c r="I32">
        <f t="shared" si="7"/>
        <v>0.55660100000386592</v>
      </c>
      <c r="O32">
        <f t="shared" ca="1" si="8"/>
        <v>-5.6598777788843275E-3</v>
      </c>
      <c r="P32">
        <f t="shared" ca="1" si="9"/>
        <v>0.58458161321815483</v>
      </c>
      <c r="Q32" s="2">
        <f t="shared" si="6"/>
        <v>21739.023000000001</v>
      </c>
      <c r="S32">
        <f t="shared" si="10"/>
        <v>0.55660100000386592</v>
      </c>
    </row>
    <row r="33" spans="1:19" x14ac:dyDescent="0.2">
      <c r="A33" s="51" t="s">
        <v>77</v>
      </c>
      <c r="B33" s="52" t="s">
        <v>26</v>
      </c>
      <c r="C33" s="51">
        <v>36809.5</v>
      </c>
      <c r="D33" s="51" t="s">
        <v>65</v>
      </c>
      <c r="E33">
        <f t="shared" si="0"/>
        <v>391.67099365074034</v>
      </c>
      <c r="F33">
        <f t="shared" si="1"/>
        <v>391.5</v>
      </c>
      <c r="G33">
        <f t="shared" si="2"/>
        <v>0.59211099999811267</v>
      </c>
      <c r="I33">
        <f t="shared" si="7"/>
        <v>0.59211099999811267</v>
      </c>
      <c r="O33">
        <f t="shared" ca="1" si="8"/>
        <v>-5.4100460531243894E-3</v>
      </c>
      <c r="P33">
        <f t="shared" ca="1" si="9"/>
        <v>0.58402589201967758</v>
      </c>
      <c r="Q33" s="2">
        <f t="shared" si="6"/>
        <v>21791</v>
      </c>
      <c r="S33">
        <f t="shared" si="10"/>
        <v>0.59211099999811267</v>
      </c>
    </row>
    <row r="34" spans="1:19" x14ac:dyDescent="0.2">
      <c r="A34" s="51" t="s">
        <v>100</v>
      </c>
      <c r="B34" s="52" t="s">
        <v>26</v>
      </c>
      <c r="C34" s="51">
        <v>36816.417999999998</v>
      </c>
      <c r="D34" s="51" t="s">
        <v>65</v>
      </c>
      <c r="E34">
        <f t="shared" si="0"/>
        <v>393.66881851098151</v>
      </c>
      <c r="F34">
        <f t="shared" si="1"/>
        <v>393.5</v>
      </c>
      <c r="G34">
        <f t="shared" si="2"/>
        <v>0.58457899999484653</v>
      </c>
      <c r="I34">
        <f t="shared" si="7"/>
        <v>0.58457899999484653</v>
      </c>
      <c r="O34">
        <f t="shared" ca="1" si="8"/>
        <v>-5.3767351563563971E-3</v>
      </c>
      <c r="P34">
        <f t="shared" ca="1" si="9"/>
        <v>0.58395179585988066</v>
      </c>
      <c r="Q34" s="2">
        <f t="shared" si="6"/>
        <v>21797.917999999998</v>
      </c>
      <c r="S34">
        <f t="shared" si="10"/>
        <v>0.58457899999484653</v>
      </c>
    </row>
    <row r="35" spans="1:19" x14ac:dyDescent="0.2">
      <c r="A35" s="51" t="s">
        <v>77</v>
      </c>
      <c r="B35" s="52" t="s">
        <v>26</v>
      </c>
      <c r="C35" s="51">
        <v>36816.425999999999</v>
      </c>
      <c r="D35" s="51" t="s">
        <v>65</v>
      </c>
      <c r="E35">
        <f t="shared" si="0"/>
        <v>393.67112880281223</v>
      </c>
      <c r="F35">
        <f t="shared" si="1"/>
        <v>393.5</v>
      </c>
      <c r="G35">
        <f t="shared" si="2"/>
        <v>0.59257899999647634</v>
      </c>
      <c r="I35">
        <f t="shared" si="7"/>
        <v>0.59257899999647634</v>
      </c>
      <c r="O35">
        <f t="shared" ca="1" si="8"/>
        <v>-5.3767351563563971E-3</v>
      </c>
      <c r="P35">
        <f t="shared" ca="1" si="9"/>
        <v>0.58395179585988066</v>
      </c>
      <c r="Q35" s="2">
        <f t="shared" si="6"/>
        <v>21797.925999999999</v>
      </c>
      <c r="S35">
        <f t="shared" si="10"/>
        <v>0.59257899999647634</v>
      </c>
    </row>
    <row r="36" spans="1:19" x14ac:dyDescent="0.2">
      <c r="A36" s="51" t="s">
        <v>100</v>
      </c>
      <c r="B36" s="52" t="s">
        <v>26</v>
      </c>
      <c r="C36" s="51">
        <v>36816.430999999997</v>
      </c>
      <c r="D36" s="51" t="s">
        <v>65</v>
      </c>
      <c r="E36">
        <f t="shared" si="0"/>
        <v>393.67257273520545</v>
      </c>
      <c r="F36">
        <f t="shared" si="1"/>
        <v>393.5</v>
      </c>
      <c r="G36">
        <f t="shared" si="2"/>
        <v>0.597578999993857</v>
      </c>
      <c r="I36">
        <f t="shared" si="7"/>
        <v>0.597578999993857</v>
      </c>
      <c r="O36">
        <f t="shared" ca="1" si="8"/>
        <v>-5.3767351563563971E-3</v>
      </c>
      <c r="P36">
        <f t="shared" ca="1" si="9"/>
        <v>0.58395179585988066</v>
      </c>
      <c r="Q36" s="2">
        <f t="shared" si="6"/>
        <v>21797.930999999997</v>
      </c>
      <c r="S36">
        <f t="shared" si="10"/>
        <v>0.597578999993857</v>
      </c>
    </row>
    <row r="37" spans="1:19" x14ac:dyDescent="0.2">
      <c r="A37" s="51" t="s">
        <v>72</v>
      </c>
      <c r="B37" s="52" t="s">
        <v>26</v>
      </c>
      <c r="C37" s="51">
        <v>36816.44</v>
      </c>
      <c r="D37" s="51" t="s">
        <v>65</v>
      </c>
      <c r="E37">
        <f t="shared" si="0"/>
        <v>393.6751718135161</v>
      </c>
      <c r="F37">
        <f t="shared" si="1"/>
        <v>393.5</v>
      </c>
      <c r="G37">
        <f t="shared" si="2"/>
        <v>0.60657899999932852</v>
      </c>
      <c r="I37">
        <f t="shared" si="7"/>
        <v>0.60657899999932852</v>
      </c>
      <c r="O37">
        <f t="shared" ca="1" si="8"/>
        <v>-5.3767351563563971E-3</v>
      </c>
      <c r="P37">
        <f t="shared" ca="1" si="9"/>
        <v>0.58395179585988066</v>
      </c>
      <c r="Q37" s="2">
        <f t="shared" si="6"/>
        <v>21797.940000000002</v>
      </c>
      <c r="S37">
        <f t="shared" si="10"/>
        <v>0.60657899999932852</v>
      </c>
    </row>
    <row r="38" spans="1:19" x14ac:dyDescent="0.2">
      <c r="A38" s="51" t="s">
        <v>100</v>
      </c>
      <c r="B38" s="52" t="s">
        <v>30</v>
      </c>
      <c r="C38" s="51">
        <v>36817.546000000002</v>
      </c>
      <c r="D38" s="51" t="s">
        <v>65</v>
      </c>
      <c r="E38">
        <f t="shared" si="0"/>
        <v>393.99456965905335</v>
      </c>
      <c r="F38">
        <f t="shared" si="1"/>
        <v>394</v>
      </c>
      <c r="G38">
        <f t="shared" si="2"/>
        <v>-1.8803999999363441E-2</v>
      </c>
      <c r="I38">
        <f t="shared" si="7"/>
        <v>-1.8803999999363441E-2</v>
      </c>
      <c r="O38">
        <f t="shared" ca="1" si="8"/>
        <v>-5.3684074321643993E-3</v>
      </c>
      <c r="P38">
        <f t="shared" ca="1" si="9"/>
        <v>0.58393327181993138</v>
      </c>
      <c r="Q38" s="2">
        <f t="shared" si="6"/>
        <v>21799.046000000002</v>
      </c>
      <c r="R38">
        <f>G38</f>
        <v>-1.8803999999363441E-2</v>
      </c>
    </row>
    <row r="39" spans="1:19" x14ac:dyDescent="0.2">
      <c r="A39" s="51" t="s">
        <v>100</v>
      </c>
      <c r="B39" s="52" t="s">
        <v>26</v>
      </c>
      <c r="C39" s="51">
        <v>36868.381000000001</v>
      </c>
      <c r="D39" s="51" t="s">
        <v>65</v>
      </c>
      <c r="E39">
        <f t="shared" si="0"/>
        <v>408.67503030814117</v>
      </c>
      <c r="F39">
        <f t="shared" si="1"/>
        <v>408.5</v>
      </c>
      <c r="G39">
        <f t="shared" si="2"/>
        <v>0.60608900000079302</v>
      </c>
      <c r="I39">
        <f t="shared" si="7"/>
        <v>0.60608900000079302</v>
      </c>
      <c r="O39">
        <f t="shared" ca="1" si="8"/>
        <v>-5.126903430596459E-3</v>
      </c>
      <c r="P39">
        <f t="shared" ca="1" si="9"/>
        <v>0.58339607466140342</v>
      </c>
      <c r="Q39" s="2">
        <f t="shared" si="6"/>
        <v>21849.881000000001</v>
      </c>
      <c r="S39">
        <f>G39</f>
        <v>0.60608900000079302</v>
      </c>
    </row>
    <row r="40" spans="1:19" x14ac:dyDescent="0.2">
      <c r="A40" s="51" t="s">
        <v>100</v>
      </c>
      <c r="B40" s="52" t="s">
        <v>26</v>
      </c>
      <c r="C40" s="51">
        <v>36875.273000000001</v>
      </c>
      <c r="D40" s="51" t="s">
        <v>65</v>
      </c>
      <c r="E40">
        <f t="shared" si="0"/>
        <v>410.66534671993446</v>
      </c>
      <c r="F40">
        <f t="shared" si="1"/>
        <v>410.5</v>
      </c>
      <c r="G40">
        <f t="shared" si="2"/>
        <v>0.57255699999950593</v>
      </c>
      <c r="I40">
        <f t="shared" si="7"/>
        <v>0.57255699999950593</v>
      </c>
      <c r="O40">
        <f t="shared" ca="1" si="8"/>
        <v>-5.0935925338284676E-3</v>
      </c>
      <c r="P40">
        <f t="shared" ca="1" si="9"/>
        <v>0.58332197850160639</v>
      </c>
      <c r="Q40" s="2">
        <f t="shared" si="6"/>
        <v>21856.773000000001</v>
      </c>
      <c r="S40">
        <f>G40</f>
        <v>0.57255699999950593</v>
      </c>
    </row>
    <row r="41" spans="1:19" x14ac:dyDescent="0.2">
      <c r="A41" s="51" t="s">
        <v>100</v>
      </c>
      <c r="B41" s="52" t="s">
        <v>30</v>
      </c>
      <c r="C41" s="51">
        <v>37146.527000000002</v>
      </c>
      <c r="D41" s="51" t="s">
        <v>65</v>
      </c>
      <c r="E41">
        <f t="shared" si="0"/>
        <v>488.99983423656158</v>
      </c>
      <c r="F41">
        <f t="shared" si="1"/>
        <v>489</v>
      </c>
      <c r="G41">
        <f t="shared" si="2"/>
        <v>-5.7399999786866829E-4</v>
      </c>
      <c r="I41">
        <f t="shared" si="7"/>
        <v>-5.7399999786866829E-4</v>
      </c>
      <c r="O41">
        <f t="shared" ca="1" si="8"/>
        <v>-3.7861398356847896E-3</v>
      </c>
      <c r="P41">
        <f t="shared" ca="1" si="9"/>
        <v>0.5804137042295755</v>
      </c>
      <c r="Q41" s="2">
        <f t="shared" si="6"/>
        <v>22128.027000000002</v>
      </c>
      <c r="R41">
        <f>G41</f>
        <v>-5.7399999786866829E-4</v>
      </c>
    </row>
    <row r="42" spans="1:19" x14ac:dyDescent="0.2">
      <c r="A42" s="51" t="s">
        <v>77</v>
      </c>
      <c r="B42" s="52" t="s">
        <v>30</v>
      </c>
      <c r="C42" s="51">
        <v>37160.385000000002</v>
      </c>
      <c r="D42" s="51" t="s">
        <v>65</v>
      </c>
      <c r="E42">
        <f t="shared" si="0"/>
        <v>493.00183725957851</v>
      </c>
      <c r="F42">
        <f t="shared" si="1"/>
        <v>493</v>
      </c>
      <c r="G42">
        <f t="shared" si="2"/>
        <v>6.3620000000810251E-3</v>
      </c>
      <c r="I42">
        <f t="shared" si="7"/>
        <v>6.3620000000810251E-3</v>
      </c>
      <c r="O42">
        <f t="shared" ca="1" si="8"/>
        <v>-3.7195180421488068E-3</v>
      </c>
      <c r="P42">
        <f t="shared" ca="1" si="9"/>
        <v>0.58026551190998155</v>
      </c>
      <c r="Q42" s="2">
        <f t="shared" si="6"/>
        <v>22141.885000000002</v>
      </c>
      <c r="R42">
        <f>G42</f>
        <v>6.3620000000810251E-3</v>
      </c>
    </row>
    <row r="43" spans="1:19" x14ac:dyDescent="0.2">
      <c r="A43" s="51" t="s">
        <v>100</v>
      </c>
      <c r="B43" s="52" t="s">
        <v>26</v>
      </c>
      <c r="C43" s="51">
        <v>37190.370000000003</v>
      </c>
      <c r="D43" s="51" t="s">
        <v>65</v>
      </c>
      <c r="E43">
        <f t="shared" si="0"/>
        <v>501.66109982597789</v>
      </c>
      <c r="F43">
        <f t="shared" si="1"/>
        <v>501.5</v>
      </c>
      <c r="G43">
        <f t="shared" si="2"/>
        <v>0.55785100000503007</v>
      </c>
      <c r="I43">
        <f t="shared" si="7"/>
        <v>0.55785100000503007</v>
      </c>
      <c r="O43">
        <f t="shared" ca="1" si="8"/>
        <v>-3.5779467308848425E-3</v>
      </c>
      <c r="P43">
        <f t="shared" ca="1" si="9"/>
        <v>0.57995060323084446</v>
      </c>
      <c r="Q43" s="2">
        <f t="shared" si="6"/>
        <v>22171.870000000003</v>
      </c>
      <c r="S43">
        <f>G43</f>
        <v>0.55785100000503007</v>
      </c>
    </row>
    <row r="44" spans="1:19" x14ac:dyDescent="0.2">
      <c r="A44" s="51" t="s">
        <v>100</v>
      </c>
      <c r="B44" s="52" t="s">
        <v>26</v>
      </c>
      <c r="C44" s="51">
        <v>37249.298999999999</v>
      </c>
      <c r="D44" s="51" t="s">
        <v>65</v>
      </c>
      <c r="E44">
        <f t="shared" si="0"/>
        <v>518.67899823435903</v>
      </c>
      <c r="F44">
        <f t="shared" si="1"/>
        <v>518.5</v>
      </c>
      <c r="G44">
        <f t="shared" si="2"/>
        <v>0.61982899999566143</v>
      </c>
      <c r="I44">
        <f t="shared" si="7"/>
        <v>0.61982899999566143</v>
      </c>
      <c r="O44">
        <f t="shared" ca="1" si="8"/>
        <v>-3.2948041083569121E-3</v>
      </c>
      <c r="P44">
        <f t="shared" ca="1" si="9"/>
        <v>0.57932078587257019</v>
      </c>
      <c r="Q44" s="2">
        <f t="shared" si="6"/>
        <v>22230.798999999999</v>
      </c>
      <c r="S44">
        <f>G44</f>
        <v>0.61982899999566143</v>
      </c>
    </row>
    <row r="45" spans="1:19" x14ac:dyDescent="0.2">
      <c r="A45" s="51" t="s">
        <v>100</v>
      </c>
      <c r="B45" s="52" t="s">
        <v>30</v>
      </c>
      <c r="C45" s="51">
        <v>37579.377</v>
      </c>
      <c r="D45" s="51" t="s">
        <v>65</v>
      </c>
      <c r="E45">
        <f t="shared" si="0"/>
        <v>614.00106157909602</v>
      </c>
      <c r="F45">
        <f t="shared" si="1"/>
        <v>614</v>
      </c>
      <c r="G45">
        <f t="shared" si="2"/>
        <v>3.6760000002686866E-3</v>
      </c>
      <c r="I45">
        <f t="shared" si="7"/>
        <v>3.6760000002686866E-3</v>
      </c>
      <c r="O45">
        <f t="shared" ca="1" si="8"/>
        <v>-1.7042087876853046E-3</v>
      </c>
      <c r="P45">
        <f t="shared" ca="1" si="9"/>
        <v>0.57578269424226514</v>
      </c>
      <c r="Q45" s="2">
        <f t="shared" si="6"/>
        <v>22560.877</v>
      </c>
      <c r="R45">
        <f>G45</f>
        <v>3.6760000002686866E-3</v>
      </c>
    </row>
    <row r="46" spans="1:19" x14ac:dyDescent="0.2">
      <c r="A46" s="51" t="s">
        <v>100</v>
      </c>
      <c r="B46" s="52" t="s">
        <v>30</v>
      </c>
      <c r="C46" s="51">
        <v>37579.379000000001</v>
      </c>
      <c r="D46" s="51" t="s">
        <v>65</v>
      </c>
      <c r="E46">
        <f t="shared" si="0"/>
        <v>614.00163915205371</v>
      </c>
      <c r="F46">
        <f t="shared" si="1"/>
        <v>614</v>
      </c>
      <c r="G46">
        <f t="shared" si="2"/>
        <v>5.6760000006761402E-3</v>
      </c>
      <c r="I46">
        <f t="shared" si="7"/>
        <v>5.6760000006761402E-3</v>
      </c>
      <c r="O46">
        <f t="shared" ca="1" si="8"/>
        <v>-1.7042087876853046E-3</v>
      </c>
      <c r="P46">
        <f t="shared" ca="1" si="9"/>
        <v>0.57578269424226514</v>
      </c>
      <c r="Q46" s="2">
        <f t="shared" si="6"/>
        <v>22560.879000000001</v>
      </c>
      <c r="R46">
        <f>G46</f>
        <v>5.6760000006761402E-3</v>
      </c>
    </row>
    <row r="47" spans="1:19" x14ac:dyDescent="0.2">
      <c r="A47" s="51" t="s">
        <v>100</v>
      </c>
      <c r="B47" s="52" t="s">
        <v>26</v>
      </c>
      <c r="C47" s="51">
        <v>37886.442999999999</v>
      </c>
      <c r="D47" s="51" t="s">
        <v>65</v>
      </c>
      <c r="E47">
        <f t="shared" si="0"/>
        <v>702.67757047400801</v>
      </c>
      <c r="F47">
        <f t="shared" si="1"/>
        <v>702.5</v>
      </c>
      <c r="G47">
        <f t="shared" si="2"/>
        <v>0.61488500000268687</v>
      </c>
      <c r="I47">
        <f t="shared" si="7"/>
        <v>0.61488500000268687</v>
      </c>
      <c r="O47">
        <f t="shared" ca="1" si="8"/>
        <v>-2.302016057016687E-4</v>
      </c>
      <c r="P47">
        <f t="shared" ca="1" si="9"/>
        <v>0.57250393917124931</v>
      </c>
      <c r="Q47" s="2">
        <f t="shared" si="6"/>
        <v>22867.942999999999</v>
      </c>
      <c r="S47">
        <f>G47</f>
        <v>0.61488500000268687</v>
      </c>
    </row>
    <row r="48" spans="1:19" x14ac:dyDescent="0.2">
      <c r="A48" s="51" t="s">
        <v>77</v>
      </c>
      <c r="B48" s="52" t="s">
        <v>30</v>
      </c>
      <c r="C48" s="51">
        <v>37908.334999999999</v>
      </c>
      <c r="D48" s="51" t="s">
        <v>65</v>
      </c>
      <c r="E48">
        <f t="shared" si="0"/>
        <v>708.99968406759183</v>
      </c>
      <c r="F48">
        <f t="shared" si="1"/>
        <v>709</v>
      </c>
      <c r="G48">
        <f t="shared" si="2"/>
        <v>-1.0939999992842786E-3</v>
      </c>
      <c r="I48">
        <f t="shared" si="7"/>
        <v>-1.0939999992842786E-3</v>
      </c>
      <c r="O48">
        <f t="shared" ca="1" si="8"/>
        <v>-1.2194119120569578E-4</v>
      </c>
      <c r="P48">
        <f t="shared" ca="1" si="9"/>
        <v>0.57226312665190915</v>
      </c>
      <c r="Q48" s="2">
        <f t="shared" si="6"/>
        <v>22889.834999999999</v>
      </c>
      <c r="R48">
        <f>G48</f>
        <v>-1.0939999992842786E-3</v>
      </c>
    </row>
    <row r="49" spans="1:31" x14ac:dyDescent="0.2">
      <c r="A49" s="51" t="s">
        <v>100</v>
      </c>
      <c r="B49" s="52" t="s">
        <v>30</v>
      </c>
      <c r="C49" s="51">
        <v>37960.294000000002</v>
      </c>
      <c r="D49" s="51" t="s">
        <v>65</v>
      </c>
      <c r="E49">
        <f t="shared" si="0"/>
        <v>724.00474071883616</v>
      </c>
      <c r="F49">
        <f t="shared" si="1"/>
        <v>724</v>
      </c>
      <c r="G49">
        <f t="shared" si="2"/>
        <v>1.6415999998571351E-2</v>
      </c>
      <c r="I49">
        <f t="shared" si="7"/>
        <v>1.6415999998571351E-2</v>
      </c>
      <c r="O49">
        <f t="shared" ca="1" si="8"/>
        <v>1.2789053455424318E-4</v>
      </c>
      <c r="P49">
        <f t="shared" ca="1" si="9"/>
        <v>0.5717074054534319</v>
      </c>
      <c r="Q49" s="2">
        <f t="shared" si="6"/>
        <v>22941.794000000002</v>
      </c>
      <c r="R49">
        <f>G49</f>
        <v>1.6415999998571351E-2</v>
      </c>
    </row>
    <row r="50" spans="1:31" x14ac:dyDescent="0.2">
      <c r="A50" s="51" t="s">
        <v>100</v>
      </c>
      <c r="B50" s="52" t="s">
        <v>30</v>
      </c>
      <c r="C50" s="51">
        <v>38268.453999999998</v>
      </c>
      <c r="D50" s="51" t="s">
        <v>65</v>
      </c>
      <c r="E50">
        <f t="shared" si="0"/>
        <v>812.99718202153929</v>
      </c>
      <c r="F50">
        <f t="shared" si="1"/>
        <v>813</v>
      </c>
      <c r="G50">
        <f t="shared" si="2"/>
        <v>-9.758000000147149E-3</v>
      </c>
      <c r="I50">
        <f t="shared" si="7"/>
        <v>-9.758000000147149E-3</v>
      </c>
      <c r="O50">
        <f t="shared" ca="1" si="8"/>
        <v>1.6102254407298761E-3</v>
      </c>
      <c r="P50">
        <f t="shared" ca="1" si="9"/>
        <v>0.5684101263424669</v>
      </c>
      <c r="Q50" s="2">
        <f t="shared" si="6"/>
        <v>23249.953999999998</v>
      </c>
      <c r="R50">
        <f>G50</f>
        <v>-9.758000000147149E-3</v>
      </c>
    </row>
    <row r="51" spans="1:31" x14ac:dyDescent="0.2">
      <c r="A51" s="51" t="s">
        <v>100</v>
      </c>
      <c r="B51" s="52" t="s">
        <v>30</v>
      </c>
      <c r="C51" s="51">
        <v>38642.417999999998</v>
      </c>
      <c r="D51" s="51" t="s">
        <v>65</v>
      </c>
      <c r="E51">
        <f t="shared" si="0"/>
        <v>920.99292877427968</v>
      </c>
      <c r="F51">
        <f t="shared" si="1"/>
        <v>921</v>
      </c>
      <c r="G51">
        <f t="shared" si="2"/>
        <v>-2.4486000002070796E-2</v>
      </c>
      <c r="I51">
        <f t="shared" si="7"/>
        <v>-2.4486000002070796E-2</v>
      </c>
      <c r="O51">
        <f t="shared" ca="1" si="8"/>
        <v>3.4090138662014324E-3</v>
      </c>
      <c r="P51">
        <f t="shared" ca="1" si="9"/>
        <v>0.5644089337134307</v>
      </c>
      <c r="Q51" s="2">
        <f t="shared" si="6"/>
        <v>23623.917999999998</v>
      </c>
      <c r="R51">
        <f>G51</f>
        <v>-2.4486000002070796E-2</v>
      </c>
    </row>
    <row r="52" spans="1:31" x14ac:dyDescent="0.2">
      <c r="A52" s="51" t="s">
        <v>100</v>
      </c>
      <c r="B52" s="52" t="s">
        <v>30</v>
      </c>
      <c r="C52" s="51">
        <v>38642.428</v>
      </c>
      <c r="D52" s="51" t="s">
        <v>65</v>
      </c>
      <c r="E52">
        <f t="shared" si="0"/>
        <v>920.99581663906815</v>
      </c>
      <c r="F52">
        <f t="shared" si="1"/>
        <v>921</v>
      </c>
      <c r="G52">
        <f t="shared" si="2"/>
        <v>-1.4486000000033528E-2</v>
      </c>
      <c r="I52">
        <f t="shared" si="7"/>
        <v>-1.4486000000033528E-2</v>
      </c>
      <c r="O52">
        <f t="shared" ca="1" si="8"/>
        <v>3.4090138662014324E-3</v>
      </c>
      <c r="P52">
        <f t="shared" ca="1" si="9"/>
        <v>0.5644089337134307</v>
      </c>
      <c r="Q52" s="2">
        <f t="shared" si="6"/>
        <v>23623.928</v>
      </c>
      <c r="R52">
        <f>G52</f>
        <v>-1.4486000000033528E-2</v>
      </c>
    </row>
    <row r="53" spans="1:31" x14ac:dyDescent="0.2">
      <c r="A53" s="51" t="s">
        <v>100</v>
      </c>
      <c r="B53" s="52" t="s">
        <v>26</v>
      </c>
      <c r="C53" s="51">
        <v>38831.660000000003</v>
      </c>
      <c r="D53" s="51" t="s">
        <v>65</v>
      </c>
      <c r="E53">
        <f t="shared" ref="E53:E82" si="11">+(C53-C$7)/C$8</f>
        <v>975.64345959270804</v>
      </c>
      <c r="F53">
        <f t="shared" ref="F53:F82" si="12">ROUND(2*E53,0)/2</f>
        <v>975.5</v>
      </c>
      <c r="G53">
        <f t="shared" ref="G53:G82" si="13">+C53-(C$7+F53*C$8)</f>
        <v>0.4967670000041835</v>
      </c>
      <c r="I53">
        <f t="shared" si="7"/>
        <v>0.4967670000041835</v>
      </c>
      <c r="O53">
        <f t="shared" ca="1" si="8"/>
        <v>4.3167358031292076E-3</v>
      </c>
      <c r="P53">
        <f t="shared" ca="1" si="9"/>
        <v>0.56238981335896343</v>
      </c>
      <c r="Q53" s="2">
        <f t="shared" ref="Q53:Q82" si="14">+C53-15018.5</f>
        <v>23813.160000000003</v>
      </c>
      <c r="S53">
        <f>G53</f>
        <v>0.4967670000041835</v>
      </c>
    </row>
    <row r="54" spans="1:31" x14ac:dyDescent="0.2">
      <c r="A54" s="51" t="s">
        <v>100</v>
      </c>
      <c r="B54" s="52" t="s">
        <v>30</v>
      </c>
      <c r="C54" s="51">
        <v>39286.499000000003</v>
      </c>
      <c r="D54" s="51" t="s">
        <v>65</v>
      </c>
      <c r="E54">
        <f t="shared" si="11"/>
        <v>1106.9948128172689</v>
      </c>
      <c r="F54">
        <f t="shared" si="12"/>
        <v>1107</v>
      </c>
      <c r="G54">
        <f t="shared" si="13"/>
        <v>-1.7961999998078682E-2</v>
      </c>
      <c r="I54">
        <f t="shared" si="7"/>
        <v>-1.7961999998078682E-2</v>
      </c>
      <c r="O54">
        <f t="shared" ca="1" si="8"/>
        <v>6.5069272656246673E-3</v>
      </c>
      <c r="P54">
        <f t="shared" ca="1" si="9"/>
        <v>0.55751799085231291</v>
      </c>
      <c r="Q54" s="2">
        <f t="shared" si="14"/>
        <v>24267.999000000003</v>
      </c>
      <c r="R54">
        <f>G54</f>
        <v>-1.7961999998078682E-2</v>
      </c>
    </row>
    <row r="55" spans="1:31" x14ac:dyDescent="0.2">
      <c r="A55" s="51" t="s">
        <v>100</v>
      </c>
      <c r="B55" s="52" t="s">
        <v>26</v>
      </c>
      <c r="C55" s="51">
        <v>39382.357000000004</v>
      </c>
      <c r="D55" s="51" t="s">
        <v>65</v>
      </c>
      <c r="E55">
        <f t="shared" si="11"/>
        <v>1134.6773071007406</v>
      </c>
      <c r="F55">
        <f t="shared" si="12"/>
        <v>1134.5</v>
      </c>
      <c r="G55">
        <f t="shared" si="13"/>
        <v>0.61397299999953248</v>
      </c>
      <c r="I55">
        <f t="shared" si="7"/>
        <v>0.61397299999953248</v>
      </c>
      <c r="O55">
        <f t="shared" ca="1" si="8"/>
        <v>6.9649520961845533E-3</v>
      </c>
      <c r="P55">
        <f t="shared" ca="1" si="9"/>
        <v>0.55649916865510463</v>
      </c>
      <c r="Q55" s="2">
        <f t="shared" si="14"/>
        <v>24363.857000000004</v>
      </c>
      <c r="S55">
        <f>G55</f>
        <v>0.61397299999953248</v>
      </c>
    </row>
    <row r="56" spans="1:31" x14ac:dyDescent="0.2">
      <c r="A56" s="51" t="s">
        <v>100</v>
      </c>
      <c r="B56" s="52" t="s">
        <v>30</v>
      </c>
      <c r="C56" s="51">
        <v>39404.292999999998</v>
      </c>
      <c r="D56" s="51" t="s">
        <v>65</v>
      </c>
      <c r="E56">
        <f t="shared" si="11"/>
        <v>1141.0121272993895</v>
      </c>
      <c r="F56">
        <f t="shared" si="12"/>
        <v>1141</v>
      </c>
      <c r="G56">
        <f t="shared" si="13"/>
        <v>4.1993999999249354E-2</v>
      </c>
      <c r="I56">
        <f t="shared" si="7"/>
        <v>4.1993999999249354E-2</v>
      </c>
      <c r="O56">
        <f t="shared" ca="1" si="8"/>
        <v>7.073212510680528E-3</v>
      </c>
      <c r="P56">
        <f t="shared" ca="1" si="9"/>
        <v>0.55625835613576446</v>
      </c>
      <c r="Q56" s="2">
        <f t="shared" si="14"/>
        <v>24385.792999999998</v>
      </c>
      <c r="R56">
        <f>G56</f>
        <v>4.1993999999249354E-2</v>
      </c>
    </row>
    <row r="57" spans="1:31" x14ac:dyDescent="0.2">
      <c r="A57" s="51" t="s">
        <v>100</v>
      </c>
      <c r="B57" s="52" t="s">
        <v>30</v>
      </c>
      <c r="C57" s="51">
        <v>40145.326999999997</v>
      </c>
      <c r="D57" s="51" t="s">
        <v>65</v>
      </c>
      <c r="E57">
        <f t="shared" si="11"/>
        <v>1355.0127268201193</v>
      </c>
      <c r="F57">
        <f t="shared" si="12"/>
        <v>1355</v>
      </c>
      <c r="G57">
        <f t="shared" si="13"/>
        <v>4.4069999996281695E-2</v>
      </c>
      <c r="I57">
        <f t="shared" si="7"/>
        <v>4.4069999996281695E-2</v>
      </c>
      <c r="O57">
        <f t="shared" ca="1" si="8"/>
        <v>1.0637478464855646E-2</v>
      </c>
      <c r="P57">
        <f t="shared" ca="1" si="9"/>
        <v>0.5483300670374891</v>
      </c>
      <c r="Q57" s="2">
        <f t="shared" si="14"/>
        <v>25126.826999999997</v>
      </c>
      <c r="R57">
        <f>G57</f>
        <v>4.4069999996281695E-2</v>
      </c>
    </row>
    <row r="58" spans="1:31" x14ac:dyDescent="0.2">
      <c r="A58" s="51" t="s">
        <v>100</v>
      </c>
      <c r="B58" s="52" t="s">
        <v>26</v>
      </c>
      <c r="C58" s="51">
        <v>41179.421000000002</v>
      </c>
      <c r="D58" s="51" t="s">
        <v>65</v>
      </c>
      <c r="E58">
        <f t="shared" si="11"/>
        <v>1653.6450918138858</v>
      </c>
      <c r="F58">
        <f t="shared" si="12"/>
        <v>1653.5</v>
      </c>
      <c r="G58">
        <f t="shared" si="13"/>
        <v>0.50241900000401074</v>
      </c>
      <c r="I58">
        <f t="shared" si="7"/>
        <v>0.50241900000401074</v>
      </c>
      <c r="O58">
        <f t="shared" ca="1" si="8"/>
        <v>1.560912980747842E-2</v>
      </c>
      <c r="P58">
        <f t="shared" ca="1" si="9"/>
        <v>0.53727121518779186</v>
      </c>
      <c r="Q58" s="2">
        <f t="shared" si="14"/>
        <v>26160.921000000002</v>
      </c>
      <c r="S58">
        <f>G58</f>
        <v>0.50241900000401074</v>
      </c>
    </row>
    <row r="59" spans="1:31" x14ac:dyDescent="0.2">
      <c r="A59" s="51" t="s">
        <v>187</v>
      </c>
      <c r="B59" s="52" t="s">
        <v>30</v>
      </c>
      <c r="C59" s="51">
        <v>47763.413999999997</v>
      </c>
      <c r="D59" s="51" t="s">
        <v>65</v>
      </c>
      <c r="E59">
        <f t="shared" si="11"/>
        <v>3555.0132466357809</v>
      </c>
      <c r="F59">
        <f t="shared" si="12"/>
        <v>3555</v>
      </c>
      <c r="G59">
        <f t="shared" si="13"/>
        <v>4.5869999994465616E-2</v>
      </c>
      <c r="K59">
        <f>+G59</f>
        <v>4.5869999994465616E-2</v>
      </c>
      <c r="O59">
        <f t="shared" ca="1" si="8"/>
        <v>4.7279464909646594E-2</v>
      </c>
      <c r="P59">
        <f t="shared" ca="1" si="9"/>
        <v>0.46682429126082603</v>
      </c>
      <c r="Q59" s="2">
        <f t="shared" si="14"/>
        <v>32744.913999999997</v>
      </c>
      <c r="R59">
        <f t="shared" ref="R59:R64" si="15">G59</f>
        <v>4.5869999994465616E-2</v>
      </c>
    </row>
    <row r="60" spans="1:31" x14ac:dyDescent="0.2">
      <c r="A60" t="s">
        <v>22</v>
      </c>
      <c r="C60" s="17">
        <v>49896.4879</v>
      </c>
      <c r="D60" s="17">
        <v>1E-3</v>
      </c>
      <c r="E60">
        <f t="shared" si="11"/>
        <v>4171.016147207175</v>
      </c>
      <c r="F60">
        <f t="shared" si="12"/>
        <v>4171</v>
      </c>
      <c r="G60">
        <f t="shared" si="13"/>
        <v>5.5914000004122499E-2</v>
      </c>
      <c r="J60">
        <f>+G60</f>
        <v>5.5914000004122499E-2</v>
      </c>
      <c r="O60">
        <f t="shared" ca="1" si="8"/>
        <v>5.7539221114188063E-2</v>
      </c>
      <c r="P60">
        <f t="shared" ca="1" si="9"/>
        <v>0.44400267404336036</v>
      </c>
      <c r="Q60" s="2">
        <f t="shared" si="14"/>
        <v>34877.9879</v>
      </c>
      <c r="R60">
        <f t="shared" si="15"/>
        <v>5.5914000004122499E-2</v>
      </c>
      <c r="AA60">
        <v>24</v>
      </c>
      <c r="AC60" t="s">
        <v>21</v>
      </c>
      <c r="AE60" t="s">
        <v>23</v>
      </c>
    </row>
    <row r="61" spans="1:31" x14ac:dyDescent="0.2">
      <c r="A61" t="s">
        <v>27</v>
      </c>
      <c r="B61" s="10"/>
      <c r="C61" s="17">
        <v>50270.467199999999</v>
      </c>
      <c r="D61" s="17">
        <v>4.0000000000000002E-4</v>
      </c>
      <c r="E61">
        <f t="shared" si="11"/>
        <v>4279.0163123930406</v>
      </c>
      <c r="F61">
        <f t="shared" si="12"/>
        <v>4279</v>
      </c>
      <c r="G61">
        <f t="shared" si="13"/>
        <v>5.6486000001314096E-2</v>
      </c>
      <c r="K61">
        <f>+G61</f>
        <v>5.6486000001314096E-2</v>
      </c>
      <c r="O61">
        <f t="shared" ref="O61:O82" ca="1" si="16">+C$11+C$12*F61</f>
        <v>5.933800953965962E-2</v>
      </c>
      <c r="P61">
        <f t="shared" ref="P61:P82" ca="1" si="17">+D$11+D$12*$F61</f>
        <v>0.44000148141432416</v>
      </c>
      <c r="Q61" s="2">
        <f t="shared" si="14"/>
        <v>35251.967199999999</v>
      </c>
      <c r="R61">
        <f t="shared" si="15"/>
        <v>5.6486000001314096E-2</v>
      </c>
    </row>
    <row r="62" spans="1:31" x14ac:dyDescent="0.2">
      <c r="A62" s="53" t="s">
        <v>27</v>
      </c>
      <c r="B62" s="52" t="s">
        <v>30</v>
      </c>
      <c r="C62" s="51">
        <v>50270.469400000002</v>
      </c>
      <c r="D62" s="51" t="s">
        <v>65</v>
      </c>
      <c r="E62">
        <f t="shared" si="11"/>
        <v>4279.0169477232948</v>
      </c>
      <c r="F62">
        <f t="shared" si="12"/>
        <v>4279</v>
      </c>
      <c r="G62">
        <f t="shared" si="13"/>
        <v>5.8686000003945082E-2</v>
      </c>
      <c r="K62">
        <f>+G62</f>
        <v>5.8686000003945082E-2</v>
      </c>
      <c r="O62">
        <f t="shared" ca="1" si="16"/>
        <v>5.933800953965962E-2</v>
      </c>
      <c r="P62">
        <f t="shared" ca="1" si="17"/>
        <v>0.44000148141432416</v>
      </c>
      <c r="Q62" s="2">
        <f t="shared" si="14"/>
        <v>35251.969400000002</v>
      </c>
      <c r="R62">
        <f t="shared" si="15"/>
        <v>5.8686000003945082E-2</v>
      </c>
    </row>
    <row r="63" spans="1:31" x14ac:dyDescent="0.2">
      <c r="A63" t="s">
        <v>24</v>
      </c>
      <c r="C63" s="17">
        <v>50599.432000000001</v>
      </c>
      <c r="D63" s="17">
        <v>8.0000000000000004E-4</v>
      </c>
      <c r="E63">
        <f t="shared" si="11"/>
        <v>4374.016898629593</v>
      </c>
      <c r="F63">
        <f t="shared" si="12"/>
        <v>4374</v>
      </c>
      <c r="G63">
        <f t="shared" si="13"/>
        <v>5.8516000004601665E-2</v>
      </c>
      <c r="I63">
        <f>+G63</f>
        <v>5.8516000004601665E-2</v>
      </c>
      <c r="O63">
        <f t="shared" ca="1" si="16"/>
        <v>6.092027713613922E-2</v>
      </c>
      <c r="P63">
        <f t="shared" ca="1" si="17"/>
        <v>0.43648191382396828</v>
      </c>
      <c r="Q63" s="2">
        <f t="shared" si="14"/>
        <v>35580.932000000001</v>
      </c>
      <c r="R63">
        <f t="shared" si="15"/>
        <v>5.8516000004601665E-2</v>
      </c>
      <c r="AA63">
        <v>13</v>
      </c>
      <c r="AC63" t="s">
        <v>21</v>
      </c>
      <c r="AE63" t="s">
        <v>23</v>
      </c>
    </row>
    <row r="64" spans="1:31" x14ac:dyDescent="0.2">
      <c r="A64" s="51" t="s">
        <v>203</v>
      </c>
      <c r="B64" s="52" t="s">
        <v>30</v>
      </c>
      <c r="C64" s="51">
        <v>50599.432099999998</v>
      </c>
      <c r="D64" s="51" t="s">
        <v>65</v>
      </c>
      <c r="E64">
        <f t="shared" si="11"/>
        <v>4374.0169275082399</v>
      </c>
      <c r="F64">
        <f t="shared" si="12"/>
        <v>4374</v>
      </c>
      <c r="G64">
        <f t="shared" si="13"/>
        <v>5.8616000002075452E-2</v>
      </c>
      <c r="K64">
        <f>+G64</f>
        <v>5.8616000002075452E-2</v>
      </c>
      <c r="O64">
        <f t="shared" ca="1" si="16"/>
        <v>6.092027713613922E-2</v>
      </c>
      <c r="P64">
        <f t="shared" ca="1" si="17"/>
        <v>0.43648191382396828</v>
      </c>
      <c r="Q64" s="2">
        <f t="shared" si="14"/>
        <v>35580.932099999998</v>
      </c>
      <c r="R64">
        <f t="shared" si="15"/>
        <v>5.8616000002075452E-2</v>
      </c>
    </row>
    <row r="65" spans="1:31" x14ac:dyDescent="0.2">
      <c r="A65" t="s">
        <v>25</v>
      </c>
      <c r="B65" s="5" t="s">
        <v>26</v>
      </c>
      <c r="C65" s="17">
        <v>51034.392899999999</v>
      </c>
      <c r="D65" s="17">
        <v>8.0000000000000004E-4</v>
      </c>
      <c r="E65">
        <f t="shared" si="11"/>
        <v>4499.6277253501967</v>
      </c>
      <c r="F65">
        <f t="shared" si="12"/>
        <v>4499.5</v>
      </c>
      <c r="G65">
        <f t="shared" si="13"/>
        <v>0.44228299999667797</v>
      </c>
      <c r="I65">
        <f>+G65</f>
        <v>0.44228299999667797</v>
      </c>
      <c r="O65">
        <f t="shared" ca="1" si="16"/>
        <v>6.3010535908330709E-2</v>
      </c>
      <c r="P65">
        <f t="shared" ca="1" si="17"/>
        <v>0.43183237979670863</v>
      </c>
      <c r="Q65" s="2">
        <f t="shared" si="14"/>
        <v>36015.892899999999</v>
      </c>
      <c r="S65">
        <f>G65</f>
        <v>0.44228299999667797</v>
      </c>
      <c r="AA65">
        <v>12</v>
      </c>
      <c r="AC65" t="s">
        <v>21</v>
      </c>
      <c r="AE65" t="s">
        <v>23</v>
      </c>
    </row>
    <row r="66" spans="1:31" x14ac:dyDescent="0.2">
      <c r="A66" s="51" t="s">
        <v>211</v>
      </c>
      <c r="B66" s="52" t="s">
        <v>30</v>
      </c>
      <c r="C66" s="51">
        <v>51714.447399999997</v>
      </c>
      <c r="D66" s="51" t="s">
        <v>65</v>
      </c>
      <c r="E66">
        <f t="shared" si="11"/>
        <v>4696.0182697877935</v>
      </c>
      <c r="F66">
        <f t="shared" si="12"/>
        <v>4696</v>
      </c>
      <c r="G66">
        <f t="shared" si="13"/>
        <v>6.3263999996706843E-2</v>
      </c>
      <c r="K66">
        <f t="shared" ref="K66:K76" si="18">+G66</f>
        <v>6.3263999996706843E-2</v>
      </c>
      <c r="O66">
        <f t="shared" ca="1" si="16"/>
        <v>6.6283331515785901E-2</v>
      </c>
      <c r="P66">
        <f t="shared" ca="1" si="17"/>
        <v>0.42455243209665672</v>
      </c>
      <c r="Q66" s="2">
        <f t="shared" si="14"/>
        <v>36695.947399999997</v>
      </c>
      <c r="R66">
        <f>G66</f>
        <v>6.3263999996706843E-2</v>
      </c>
    </row>
    <row r="67" spans="1:31" x14ac:dyDescent="0.2">
      <c r="A67" s="12" t="s">
        <v>29</v>
      </c>
      <c r="B67" s="5" t="s">
        <v>30</v>
      </c>
      <c r="C67" s="18">
        <v>53497.782800000001</v>
      </c>
      <c r="D67" s="18">
        <v>5.9999999999999995E-4</v>
      </c>
      <c r="E67">
        <f t="shared" si="11"/>
        <v>5211.0214204482781</v>
      </c>
      <c r="F67">
        <f t="shared" si="12"/>
        <v>5211</v>
      </c>
      <c r="G67">
        <f t="shared" si="13"/>
        <v>7.417400000122143E-2</v>
      </c>
      <c r="K67">
        <f t="shared" si="18"/>
        <v>7.417400000122143E-2</v>
      </c>
      <c r="O67">
        <f t="shared" ca="1" si="16"/>
        <v>7.4860887433543785E-2</v>
      </c>
      <c r="P67">
        <f t="shared" ca="1" si="17"/>
        <v>0.40547267094893785</v>
      </c>
      <c r="Q67" s="2">
        <f t="shared" si="14"/>
        <v>38479.282800000001</v>
      </c>
      <c r="R67">
        <f>G67</f>
        <v>7.417400000122143E-2</v>
      </c>
    </row>
    <row r="68" spans="1:31" x14ac:dyDescent="0.2">
      <c r="A68" s="12" t="s">
        <v>29</v>
      </c>
      <c r="B68" s="5" t="s">
        <v>26</v>
      </c>
      <c r="C68" s="18">
        <v>53499.851300000002</v>
      </c>
      <c r="D68" s="18">
        <v>8.0000000000000004E-4</v>
      </c>
      <c r="E68">
        <f t="shared" si="11"/>
        <v>5211.6187752796468</v>
      </c>
      <c r="F68">
        <f t="shared" si="12"/>
        <v>5211.5</v>
      </c>
      <c r="G68">
        <f t="shared" si="13"/>
        <v>0.41129100000398466</v>
      </c>
      <c r="K68">
        <f t="shared" si="18"/>
        <v>0.41129100000398466</v>
      </c>
      <c r="O68">
        <f t="shared" ca="1" si="16"/>
        <v>7.4869215157735786E-2</v>
      </c>
      <c r="P68">
        <f t="shared" ca="1" si="17"/>
        <v>0.40545414690898862</v>
      </c>
      <c r="Q68" s="2">
        <f t="shared" si="14"/>
        <v>38481.351300000002</v>
      </c>
      <c r="S68">
        <f>G68</f>
        <v>0.41129100000398466</v>
      </c>
    </row>
    <row r="69" spans="1:31" x14ac:dyDescent="0.2">
      <c r="A69" s="12" t="s">
        <v>29</v>
      </c>
      <c r="B69" s="5" t="s">
        <v>30</v>
      </c>
      <c r="C69" s="18">
        <v>53542.798799999997</v>
      </c>
      <c r="D69" s="18">
        <v>1.1000000000000001E-3</v>
      </c>
      <c r="E69">
        <f t="shared" si="11"/>
        <v>5224.0214325773086</v>
      </c>
      <c r="F69">
        <f t="shared" si="12"/>
        <v>5224</v>
      </c>
      <c r="G69">
        <f t="shared" si="13"/>
        <v>7.4216000000888016E-2</v>
      </c>
      <c r="K69">
        <f t="shared" si="18"/>
        <v>7.4216000000888016E-2</v>
      </c>
      <c r="O69">
        <f t="shared" ca="1" si="16"/>
        <v>7.5077408262535728E-2</v>
      </c>
      <c r="P69">
        <f t="shared" ca="1" si="17"/>
        <v>0.40499104591025759</v>
      </c>
      <c r="Q69" s="2">
        <f t="shared" si="14"/>
        <v>38524.298799999997</v>
      </c>
      <c r="R69">
        <f>G69</f>
        <v>7.4216000000888016E-2</v>
      </c>
    </row>
    <row r="70" spans="1:31" x14ac:dyDescent="0.2">
      <c r="A70" s="12" t="s">
        <v>29</v>
      </c>
      <c r="B70" s="5" t="s">
        <v>26</v>
      </c>
      <c r="C70" s="18">
        <v>53544.855300000003</v>
      </c>
      <c r="D70" s="18">
        <v>1.8E-3</v>
      </c>
      <c r="E70">
        <f t="shared" si="11"/>
        <v>5224.615321970934</v>
      </c>
      <c r="F70">
        <f t="shared" si="12"/>
        <v>5224.5</v>
      </c>
      <c r="G70">
        <f t="shared" si="13"/>
        <v>0.39933300000120653</v>
      </c>
      <c r="K70">
        <f t="shared" si="18"/>
        <v>0.39933300000120653</v>
      </c>
      <c r="O70">
        <f t="shared" ca="1" si="16"/>
        <v>7.5085735986727728E-2</v>
      </c>
      <c r="P70">
        <f t="shared" ca="1" si="17"/>
        <v>0.4049725218703083</v>
      </c>
      <c r="Q70" s="2">
        <f t="shared" si="14"/>
        <v>38526.355300000003</v>
      </c>
      <c r="S70">
        <f>G70</f>
        <v>0.39933300000120653</v>
      </c>
    </row>
    <row r="71" spans="1:31" x14ac:dyDescent="0.2">
      <c r="A71" s="12" t="s">
        <v>29</v>
      </c>
      <c r="B71" s="5" t="s">
        <v>26</v>
      </c>
      <c r="C71" s="18">
        <v>53558.714500000002</v>
      </c>
      <c r="D71" s="18">
        <v>5.9999999999999995E-4</v>
      </c>
      <c r="E71">
        <f t="shared" si="11"/>
        <v>5228.6176715377251</v>
      </c>
      <c r="F71">
        <f t="shared" si="12"/>
        <v>5228.5</v>
      </c>
      <c r="G71">
        <f t="shared" si="13"/>
        <v>0.4074689999979455</v>
      </c>
      <c r="K71">
        <f t="shared" si="18"/>
        <v>0.4074689999979455</v>
      </c>
      <c r="O71">
        <f t="shared" ca="1" si="16"/>
        <v>7.5152357780263718E-2</v>
      </c>
      <c r="P71">
        <f t="shared" ca="1" si="17"/>
        <v>0.40482432955071435</v>
      </c>
      <c r="Q71" s="2">
        <f t="shared" si="14"/>
        <v>38540.214500000002</v>
      </c>
      <c r="S71">
        <f>G71</f>
        <v>0.4074689999979455</v>
      </c>
    </row>
    <row r="72" spans="1:31" x14ac:dyDescent="0.2">
      <c r="A72" s="27" t="s">
        <v>29</v>
      </c>
      <c r="B72" s="28" t="s">
        <v>30</v>
      </c>
      <c r="C72" s="29">
        <v>53580.883800000003</v>
      </c>
      <c r="D72" s="29">
        <v>5.9999999999999995E-4</v>
      </c>
      <c r="E72">
        <f t="shared" si="11"/>
        <v>5235.0198656218772</v>
      </c>
      <c r="F72">
        <f t="shared" si="12"/>
        <v>5235</v>
      </c>
      <c r="G72">
        <f t="shared" si="13"/>
        <v>6.8790000004810281E-2</v>
      </c>
      <c r="K72">
        <f t="shared" si="18"/>
        <v>6.8790000004810281E-2</v>
      </c>
      <c r="O72">
        <f t="shared" ca="1" si="16"/>
        <v>7.5260618194759682E-2</v>
      </c>
      <c r="P72">
        <f t="shared" ca="1" si="17"/>
        <v>0.40458351703137424</v>
      </c>
      <c r="Q72" s="2">
        <f t="shared" si="14"/>
        <v>38562.383800000003</v>
      </c>
      <c r="R72">
        <f>G72</f>
        <v>6.8790000004810281E-2</v>
      </c>
    </row>
    <row r="73" spans="1:31" x14ac:dyDescent="0.2">
      <c r="A73" s="30" t="s">
        <v>40</v>
      </c>
      <c r="B73" s="28" t="s">
        <v>30</v>
      </c>
      <c r="C73" s="32">
        <v>53594.740299999998</v>
      </c>
      <c r="D73" s="32">
        <v>2.0000000000000001E-4</v>
      </c>
      <c r="E73">
        <f t="shared" si="11"/>
        <v>5239.0214354651735</v>
      </c>
      <c r="F73">
        <f t="shared" si="12"/>
        <v>5239</v>
      </c>
      <c r="G73">
        <f t="shared" si="13"/>
        <v>7.4225999996997416E-2</v>
      </c>
      <c r="K73">
        <f t="shared" si="18"/>
        <v>7.4225999996997416E-2</v>
      </c>
      <c r="O73">
        <f t="shared" ca="1" si="16"/>
        <v>7.5327239988295672E-2</v>
      </c>
      <c r="P73">
        <f t="shared" ca="1" si="17"/>
        <v>0.40443532471178034</v>
      </c>
      <c r="Q73" s="2">
        <f t="shared" si="14"/>
        <v>38576.240299999998</v>
      </c>
      <c r="R73">
        <f>G73</f>
        <v>7.4225999996997416E-2</v>
      </c>
    </row>
    <row r="74" spans="1:31" x14ac:dyDescent="0.2">
      <c r="A74" s="30" t="s">
        <v>40</v>
      </c>
      <c r="B74" s="28" t="s">
        <v>26</v>
      </c>
      <c r="C74" s="32">
        <v>53603.731800000001</v>
      </c>
      <c r="D74" s="32">
        <v>2.9999999999999997E-4</v>
      </c>
      <c r="E74">
        <f t="shared" si="11"/>
        <v>5241.61805908918</v>
      </c>
      <c r="F74">
        <f t="shared" si="12"/>
        <v>5241.5</v>
      </c>
      <c r="G74">
        <f t="shared" si="13"/>
        <v>0.40881100000115111</v>
      </c>
      <c r="K74">
        <f t="shared" si="18"/>
        <v>0.40881100000115111</v>
      </c>
      <c r="O74">
        <f t="shared" ca="1" si="16"/>
        <v>7.536887860925566E-2</v>
      </c>
      <c r="P74">
        <f t="shared" ca="1" si="17"/>
        <v>0.40434270451203413</v>
      </c>
      <c r="Q74" s="2">
        <f t="shared" si="14"/>
        <v>38585.231800000001</v>
      </c>
      <c r="S74">
        <f>G74</f>
        <v>0.40881100000115111</v>
      </c>
    </row>
    <row r="75" spans="1:31" x14ac:dyDescent="0.2">
      <c r="A75" s="33" t="s">
        <v>41</v>
      </c>
      <c r="B75" s="34" t="s">
        <v>26</v>
      </c>
      <c r="C75" s="29">
        <v>53866.9</v>
      </c>
      <c r="D75" s="29">
        <v>6.9999999999999999E-4</v>
      </c>
      <c r="E75">
        <f t="shared" si="11"/>
        <v>5317.617476895638</v>
      </c>
      <c r="F75">
        <f t="shared" si="12"/>
        <v>5317.5</v>
      </c>
      <c r="G75">
        <f t="shared" si="13"/>
        <v>0.40679500000260305</v>
      </c>
      <c r="K75">
        <f t="shared" si="18"/>
        <v>0.40679500000260305</v>
      </c>
      <c r="O75">
        <f t="shared" ca="1" si="16"/>
        <v>7.663469268643934E-2</v>
      </c>
      <c r="P75">
        <f t="shared" ca="1" si="17"/>
        <v>0.40152705043974934</v>
      </c>
      <c r="Q75" s="2">
        <f t="shared" si="14"/>
        <v>38848.400000000001</v>
      </c>
      <c r="S75">
        <f>G75</f>
        <v>0.40679500000260305</v>
      </c>
    </row>
    <row r="76" spans="1:31" x14ac:dyDescent="0.2">
      <c r="A76" s="33" t="s">
        <v>41</v>
      </c>
      <c r="B76" s="34" t="s">
        <v>26</v>
      </c>
      <c r="C76" s="29">
        <v>53873.823900000003</v>
      </c>
      <c r="D76" s="29">
        <v>8.9999999999999998E-4</v>
      </c>
      <c r="E76">
        <f t="shared" si="11"/>
        <v>5319.6170055961056</v>
      </c>
      <c r="F76">
        <f t="shared" si="12"/>
        <v>5319.5</v>
      </c>
      <c r="G76">
        <f t="shared" si="13"/>
        <v>0.40516300000308547</v>
      </c>
      <c r="K76">
        <f t="shared" si="18"/>
        <v>0.40516300000308547</v>
      </c>
      <c r="O76">
        <f t="shared" ca="1" si="16"/>
        <v>7.6668003583207342E-2</v>
      </c>
      <c r="P76">
        <f t="shared" ca="1" si="17"/>
        <v>0.40145295427995242</v>
      </c>
      <c r="Q76" s="2">
        <f t="shared" si="14"/>
        <v>38855.323900000003</v>
      </c>
      <c r="S76">
        <f>G76</f>
        <v>0.40516300000308547</v>
      </c>
    </row>
    <row r="77" spans="1:31" x14ac:dyDescent="0.2">
      <c r="A77" s="30" t="s">
        <v>37</v>
      </c>
      <c r="B77" s="31"/>
      <c r="C77" s="32">
        <v>53899.465799999998</v>
      </c>
      <c r="D77" s="32">
        <v>1E-3</v>
      </c>
      <c r="E77">
        <f t="shared" si="11"/>
        <v>5327.0220396064879</v>
      </c>
      <c r="F77">
        <f t="shared" si="12"/>
        <v>5327</v>
      </c>
      <c r="G77">
        <f t="shared" si="13"/>
        <v>7.6317999999446329E-2</v>
      </c>
      <c r="J77">
        <f>+G77</f>
        <v>7.6317999999446329E-2</v>
      </c>
      <c r="O77">
        <f t="shared" ca="1" si="16"/>
        <v>7.6792919446087307E-2</v>
      </c>
      <c r="P77">
        <f t="shared" ca="1" si="17"/>
        <v>0.4011750936807138</v>
      </c>
      <c r="Q77" s="2">
        <f t="shared" si="14"/>
        <v>38880.965799999998</v>
      </c>
      <c r="R77">
        <f>G77</f>
        <v>7.6317999999446329E-2</v>
      </c>
    </row>
    <row r="78" spans="1:31" x14ac:dyDescent="0.2">
      <c r="A78" s="27" t="s">
        <v>37</v>
      </c>
      <c r="B78" s="33"/>
      <c r="C78" s="32">
        <v>53899.465799999998</v>
      </c>
      <c r="D78" s="32">
        <v>1E-3</v>
      </c>
      <c r="E78">
        <f t="shared" si="11"/>
        <v>5327.0220396064879</v>
      </c>
      <c r="F78">
        <f t="shared" si="12"/>
        <v>5327</v>
      </c>
      <c r="G78">
        <f t="shared" si="13"/>
        <v>7.6317999999446329E-2</v>
      </c>
      <c r="J78">
        <f>+G78</f>
        <v>7.6317999999446329E-2</v>
      </c>
      <c r="O78">
        <f t="shared" ca="1" si="16"/>
        <v>7.6792919446087307E-2</v>
      </c>
      <c r="P78">
        <f t="shared" ca="1" si="17"/>
        <v>0.4011750936807138</v>
      </c>
      <c r="Q78" s="2">
        <f t="shared" si="14"/>
        <v>38880.965799999998</v>
      </c>
      <c r="R78">
        <f>G78</f>
        <v>7.6317999999446329E-2</v>
      </c>
    </row>
    <row r="79" spans="1:31" x14ac:dyDescent="0.2">
      <c r="A79" s="30" t="s">
        <v>38</v>
      </c>
      <c r="B79" s="28" t="s">
        <v>30</v>
      </c>
      <c r="C79" s="32">
        <v>53899.466899999999</v>
      </c>
      <c r="D79" s="32">
        <v>2.9999999999999997E-4</v>
      </c>
      <c r="E79">
        <f t="shared" si="11"/>
        <v>5327.022357271615</v>
      </c>
      <c r="F79">
        <f t="shared" si="12"/>
        <v>5327</v>
      </c>
      <c r="G79">
        <f t="shared" si="13"/>
        <v>7.7418000000761822E-2</v>
      </c>
      <c r="J79">
        <f>+G79</f>
        <v>7.7418000000761822E-2</v>
      </c>
      <c r="O79">
        <f t="shared" ca="1" si="16"/>
        <v>7.6792919446087307E-2</v>
      </c>
      <c r="P79">
        <f t="shared" ca="1" si="17"/>
        <v>0.4011750936807138</v>
      </c>
      <c r="Q79" s="2">
        <f t="shared" si="14"/>
        <v>38880.966899999999</v>
      </c>
      <c r="R79">
        <f>G79</f>
        <v>7.7418000000761822E-2</v>
      </c>
    </row>
    <row r="80" spans="1:31" x14ac:dyDescent="0.2">
      <c r="A80" s="51" t="s">
        <v>261</v>
      </c>
      <c r="B80" s="52" t="s">
        <v>26</v>
      </c>
      <c r="C80" s="51">
        <v>54365.541700000002</v>
      </c>
      <c r="D80" s="51" t="s">
        <v>65</v>
      </c>
      <c r="E80">
        <f t="shared" si="11"/>
        <v>5461.6184576145206</v>
      </c>
      <c r="F80">
        <f t="shared" si="12"/>
        <v>5461.5</v>
      </c>
      <c r="G80">
        <f t="shared" si="13"/>
        <v>0.41019100000266917</v>
      </c>
      <c r="K80">
        <f t="shared" ref="K80:K106" si="19">+G80</f>
        <v>0.41019100000266917</v>
      </c>
      <c r="O80">
        <f t="shared" ca="1" si="16"/>
        <v>7.9033077253734749E-2</v>
      </c>
      <c r="P80">
        <f t="shared" ca="1" si="17"/>
        <v>0.39619212693436778</v>
      </c>
      <c r="Q80" s="2">
        <f t="shared" si="14"/>
        <v>39347.041700000002</v>
      </c>
      <c r="S80">
        <f>G80</f>
        <v>0.41019100000266917</v>
      </c>
    </row>
    <row r="81" spans="1:19" x14ac:dyDescent="0.2">
      <c r="A81" s="29" t="s">
        <v>48</v>
      </c>
      <c r="B81" s="34" t="s">
        <v>30</v>
      </c>
      <c r="C81" s="29">
        <v>54612.798900000002</v>
      </c>
      <c r="D81" s="29">
        <v>5.9999999999999995E-4</v>
      </c>
      <c r="E81">
        <f t="shared" si="11"/>
        <v>5533.0229937570148</v>
      </c>
      <c r="F81">
        <f t="shared" si="12"/>
        <v>5533</v>
      </c>
      <c r="G81">
        <f t="shared" si="13"/>
        <v>7.9621999997470994E-2</v>
      </c>
      <c r="K81">
        <f t="shared" si="19"/>
        <v>7.9621999997470994E-2</v>
      </c>
      <c r="O81">
        <f t="shared" ca="1" si="16"/>
        <v>8.0223941813190452E-2</v>
      </c>
      <c r="P81">
        <f t="shared" ca="1" si="17"/>
        <v>0.39354318922162623</v>
      </c>
      <c r="Q81" s="2">
        <f t="shared" si="14"/>
        <v>39594.298900000002</v>
      </c>
      <c r="R81">
        <f>G81</f>
        <v>7.9621999997470994E-2</v>
      </c>
    </row>
    <row r="82" spans="1:19" x14ac:dyDescent="0.2">
      <c r="A82" s="51" t="s">
        <v>271</v>
      </c>
      <c r="B82" s="52" t="s">
        <v>30</v>
      </c>
      <c r="C82" s="51">
        <v>54685.5173</v>
      </c>
      <c r="D82" s="51" t="s">
        <v>65</v>
      </c>
      <c r="E82">
        <f t="shared" si="11"/>
        <v>5554.0230844359685</v>
      </c>
      <c r="F82">
        <f t="shared" si="12"/>
        <v>5554</v>
      </c>
      <c r="G82">
        <f t="shared" si="13"/>
        <v>7.9936000001907814E-2</v>
      </c>
      <c r="K82">
        <f t="shared" si="19"/>
        <v>7.9936000001907814E-2</v>
      </c>
      <c r="O82">
        <f t="shared" ca="1" si="16"/>
        <v>8.0573706229254374E-2</v>
      </c>
      <c r="P82">
        <f t="shared" ca="1" si="17"/>
        <v>0.39276517954375811</v>
      </c>
      <c r="Q82" s="2">
        <f t="shared" si="14"/>
        <v>39667.0173</v>
      </c>
      <c r="R82">
        <f>G82</f>
        <v>7.9936000001907814E-2</v>
      </c>
    </row>
    <row r="83" spans="1:19" x14ac:dyDescent="0.2">
      <c r="A83" s="35" t="s">
        <v>49</v>
      </c>
      <c r="B83" s="36" t="s">
        <v>26</v>
      </c>
      <c r="C83" s="35">
        <v>54978.427499999998</v>
      </c>
      <c r="D83" s="35">
        <v>5.9999999999999995E-4</v>
      </c>
      <c r="E83">
        <f t="shared" ref="E83:E106" si="20">+(C83-C$7)/C$8</f>
        <v>5638.6115896944812</v>
      </c>
      <c r="F83">
        <f t="shared" ref="F83:F106" si="21">ROUND(2*E83,0)/2</f>
        <v>5638.5</v>
      </c>
      <c r="G83">
        <f t="shared" ref="G83:G106" si="22">+C83-(C$7+F83*C$8)</f>
        <v>0.38640899999882095</v>
      </c>
      <c r="K83">
        <f t="shared" si="19"/>
        <v>0.38640899999882095</v>
      </c>
      <c r="O83">
        <f t="shared" ref="O83:O106" ca="1" si="23">+C$11+C$12*F83</f>
        <v>8.198109161770202E-2</v>
      </c>
      <c r="P83">
        <f t="shared" ref="P83:P106" ca="1" si="24">+D$11+D$12*$F83</f>
        <v>0.38963461679233624</v>
      </c>
      <c r="Q83" s="2">
        <f t="shared" ref="Q83:Q106" si="25">+C83-15018.5</f>
        <v>39959.927499999998</v>
      </c>
      <c r="S83">
        <f>G83</f>
        <v>0.38640899999882095</v>
      </c>
    </row>
    <row r="84" spans="1:19" x14ac:dyDescent="0.2">
      <c r="A84" s="51" t="s">
        <v>282</v>
      </c>
      <c r="B84" s="52" t="s">
        <v>30</v>
      </c>
      <c r="C84" s="51">
        <v>55066.424800000001</v>
      </c>
      <c r="D84" s="51" t="s">
        <v>65</v>
      </c>
      <c r="E84">
        <f t="shared" si="20"/>
        <v>5664.0240201041597</v>
      </c>
      <c r="F84">
        <f t="shared" si="21"/>
        <v>5664</v>
      </c>
      <c r="G84">
        <f t="shared" si="22"/>
        <v>8.3176000000094064E-2</v>
      </c>
      <c r="K84">
        <f t="shared" si="19"/>
        <v>8.3176000000094064E-2</v>
      </c>
      <c r="O84">
        <f t="shared" ca="1" si="23"/>
        <v>8.2405805551493919E-2</v>
      </c>
      <c r="P84">
        <f t="shared" ca="1" si="24"/>
        <v>0.38868989075492494</v>
      </c>
      <c r="Q84" s="2">
        <f t="shared" si="25"/>
        <v>40047.924800000001</v>
      </c>
      <c r="R84">
        <f>G84</f>
        <v>8.3176000000094064E-2</v>
      </c>
    </row>
    <row r="85" spans="1:19" x14ac:dyDescent="0.2">
      <c r="A85" s="51" t="s">
        <v>282</v>
      </c>
      <c r="B85" s="52" t="s">
        <v>26</v>
      </c>
      <c r="C85" s="51">
        <v>55068.464999999997</v>
      </c>
      <c r="D85" s="51" t="s">
        <v>65</v>
      </c>
      <c r="E85">
        <f t="shared" si="20"/>
        <v>5664.6132022781776</v>
      </c>
      <c r="F85">
        <f t="shared" si="21"/>
        <v>5664.5</v>
      </c>
      <c r="G85">
        <f t="shared" si="22"/>
        <v>0.39199299999745563</v>
      </c>
      <c r="K85">
        <f t="shared" si="19"/>
        <v>0.39199299999745563</v>
      </c>
      <c r="O85">
        <f t="shared" ca="1" si="23"/>
        <v>8.2414133275685919E-2</v>
      </c>
      <c r="P85">
        <f t="shared" ca="1" si="24"/>
        <v>0.38867136671497571</v>
      </c>
      <c r="Q85" s="2">
        <f t="shared" si="25"/>
        <v>40049.964999999997</v>
      </c>
      <c r="S85">
        <f>G85</f>
        <v>0.39199299999745563</v>
      </c>
    </row>
    <row r="86" spans="1:19" x14ac:dyDescent="0.2">
      <c r="A86" s="51" t="s">
        <v>372</v>
      </c>
      <c r="B86" s="52" t="s">
        <v>30</v>
      </c>
      <c r="C86" s="51">
        <v>55301.8923</v>
      </c>
      <c r="D86" s="51" t="s">
        <v>65</v>
      </c>
      <c r="E86">
        <f t="shared" si="20"/>
        <v>5732.0238502977099</v>
      </c>
      <c r="F86">
        <f t="shared" si="21"/>
        <v>5732</v>
      </c>
      <c r="G86">
        <f t="shared" si="22"/>
        <v>8.2587999997485895E-2</v>
      </c>
      <c r="K86">
        <f t="shared" si="19"/>
        <v>8.2587999997485895E-2</v>
      </c>
      <c r="O86">
        <f t="shared" ca="1" si="23"/>
        <v>8.3538376041605633E-2</v>
      </c>
      <c r="P86">
        <f t="shared" ca="1" si="24"/>
        <v>0.38617062132182811</v>
      </c>
      <c r="Q86" s="2">
        <f t="shared" si="25"/>
        <v>40283.3923</v>
      </c>
      <c r="R86">
        <f>G86</f>
        <v>8.2587999997485895E-2</v>
      </c>
    </row>
    <row r="87" spans="1:19" x14ac:dyDescent="0.2">
      <c r="A87" s="51" t="s">
        <v>372</v>
      </c>
      <c r="B87" s="52" t="s">
        <v>30</v>
      </c>
      <c r="C87" s="51">
        <v>55301.8943</v>
      </c>
      <c r="D87" s="51" t="s">
        <v>65</v>
      </c>
      <c r="E87">
        <f t="shared" si="20"/>
        <v>5732.0244278706678</v>
      </c>
      <c r="F87">
        <f t="shared" si="21"/>
        <v>5732</v>
      </c>
      <c r="G87">
        <f t="shared" si="22"/>
        <v>8.4587999997893348E-2</v>
      </c>
      <c r="K87">
        <f t="shared" si="19"/>
        <v>8.4587999997893348E-2</v>
      </c>
      <c r="O87">
        <f t="shared" ca="1" si="23"/>
        <v>8.3538376041605633E-2</v>
      </c>
      <c r="P87">
        <f t="shared" ca="1" si="24"/>
        <v>0.38617062132182811</v>
      </c>
      <c r="Q87" s="2">
        <f t="shared" si="25"/>
        <v>40283.3943</v>
      </c>
      <c r="R87">
        <f>G87</f>
        <v>8.4587999997893348E-2</v>
      </c>
    </row>
    <row r="88" spans="1:19" x14ac:dyDescent="0.2">
      <c r="A88" s="59" t="s">
        <v>374</v>
      </c>
      <c r="B88" s="60" t="s">
        <v>30</v>
      </c>
      <c r="C88" s="61">
        <v>55343.447200000002</v>
      </c>
      <c r="D88" s="61">
        <v>2.0000000000000001E-4</v>
      </c>
      <c r="E88" s="33">
        <f t="shared" si="20"/>
        <v>5744.0243435450166</v>
      </c>
      <c r="F88">
        <f t="shared" si="21"/>
        <v>5744</v>
      </c>
      <c r="G88">
        <f t="shared" si="22"/>
        <v>8.4296000008180272E-2</v>
      </c>
      <c r="K88">
        <f t="shared" si="19"/>
        <v>8.4296000008180272E-2</v>
      </c>
      <c r="O88">
        <f t="shared" ca="1" si="23"/>
        <v>8.3738241422213588E-2</v>
      </c>
      <c r="P88">
        <f t="shared" ca="1" si="24"/>
        <v>0.38572604436304631</v>
      </c>
      <c r="Q88" s="2">
        <f t="shared" si="25"/>
        <v>40324.947200000002</v>
      </c>
      <c r="R88">
        <f>G88</f>
        <v>8.4296000008180272E-2</v>
      </c>
    </row>
    <row r="89" spans="1:19" x14ac:dyDescent="0.2">
      <c r="A89" s="51" t="s">
        <v>372</v>
      </c>
      <c r="B89" s="52" t="s">
        <v>30</v>
      </c>
      <c r="C89" s="51">
        <v>55360.760600000001</v>
      </c>
      <c r="D89" s="51" t="s">
        <v>65</v>
      </c>
      <c r="E89">
        <f t="shared" si="20"/>
        <v>5749.02421936683</v>
      </c>
      <c r="F89">
        <f t="shared" si="21"/>
        <v>5749</v>
      </c>
      <c r="G89">
        <f t="shared" si="22"/>
        <v>8.3866000000853091E-2</v>
      </c>
      <c r="K89">
        <f t="shared" si="19"/>
        <v>8.3866000000853091E-2</v>
      </c>
      <c r="O89">
        <f t="shared" ca="1" si="23"/>
        <v>8.3821518664133565E-2</v>
      </c>
      <c r="P89">
        <f t="shared" ca="1" si="24"/>
        <v>0.38554080396355389</v>
      </c>
      <c r="Q89" s="2">
        <f t="shared" si="25"/>
        <v>40342.260600000001</v>
      </c>
      <c r="R89">
        <f>G89</f>
        <v>8.3866000000853091E-2</v>
      </c>
    </row>
    <row r="90" spans="1:19" x14ac:dyDescent="0.2">
      <c r="A90" s="51" t="s">
        <v>372</v>
      </c>
      <c r="B90" s="52" t="s">
        <v>26</v>
      </c>
      <c r="C90" s="51">
        <v>55362.7981</v>
      </c>
      <c r="D90" s="51" t="s">
        <v>65</v>
      </c>
      <c r="E90">
        <f t="shared" si="20"/>
        <v>5749.6126218173567</v>
      </c>
      <c r="F90">
        <f t="shared" si="21"/>
        <v>5749.5</v>
      </c>
      <c r="G90">
        <f t="shared" si="22"/>
        <v>0.38998300000093877</v>
      </c>
      <c r="K90">
        <f t="shared" si="19"/>
        <v>0.38998300000093877</v>
      </c>
      <c r="O90">
        <f t="shared" ca="1" si="23"/>
        <v>8.3829846388325566E-2</v>
      </c>
      <c r="P90">
        <f t="shared" ca="1" si="24"/>
        <v>0.38552227992360466</v>
      </c>
      <c r="Q90" s="2">
        <f t="shared" si="25"/>
        <v>40344.2981</v>
      </c>
      <c r="S90">
        <f>G90</f>
        <v>0.38998300000093877</v>
      </c>
    </row>
    <row r="91" spans="1:19" x14ac:dyDescent="0.2">
      <c r="A91" s="51" t="s">
        <v>372</v>
      </c>
      <c r="B91" s="52" t="s">
        <v>30</v>
      </c>
      <c r="C91" s="51">
        <v>55457.716999999997</v>
      </c>
      <c r="D91" s="51" t="s">
        <v>65</v>
      </c>
      <c r="E91">
        <f t="shared" si="20"/>
        <v>5777.0239167185991</v>
      </c>
      <c r="F91">
        <f t="shared" si="21"/>
        <v>5777</v>
      </c>
      <c r="G91">
        <f t="shared" si="22"/>
        <v>8.2818000002589542E-2</v>
      </c>
      <c r="K91">
        <f t="shared" si="19"/>
        <v>8.2818000002589542E-2</v>
      </c>
      <c r="O91">
        <f t="shared" ca="1" si="23"/>
        <v>8.4287871218885452E-2</v>
      </c>
      <c r="P91">
        <f t="shared" ca="1" si="24"/>
        <v>0.38450345772639638</v>
      </c>
      <c r="Q91" s="2">
        <f t="shared" si="25"/>
        <v>40439.216999999997</v>
      </c>
      <c r="R91">
        <f>G91</f>
        <v>8.2818000002589542E-2</v>
      </c>
    </row>
    <row r="92" spans="1:19" x14ac:dyDescent="0.2">
      <c r="A92" s="51" t="s">
        <v>372</v>
      </c>
      <c r="B92" s="52" t="s">
        <v>26</v>
      </c>
      <c r="C92" s="51">
        <v>55466.673199999997</v>
      </c>
      <c r="D92" s="51" t="s">
        <v>65</v>
      </c>
      <c r="E92">
        <f t="shared" si="20"/>
        <v>5779.610346179903</v>
      </c>
      <c r="F92">
        <f t="shared" si="21"/>
        <v>5779.5</v>
      </c>
      <c r="G92">
        <f t="shared" si="22"/>
        <v>0.3821029999962775</v>
      </c>
      <c r="K92">
        <f t="shared" si="19"/>
        <v>0.3821029999962775</v>
      </c>
      <c r="O92">
        <f t="shared" ca="1" si="23"/>
        <v>8.432950983984544E-2</v>
      </c>
      <c r="P92">
        <f t="shared" ca="1" si="24"/>
        <v>0.38441083752665017</v>
      </c>
      <c r="Q92" s="2">
        <f t="shared" si="25"/>
        <v>40448.173199999997</v>
      </c>
      <c r="S92">
        <f>G92</f>
        <v>0.3821029999962775</v>
      </c>
    </row>
    <row r="93" spans="1:19" x14ac:dyDescent="0.2">
      <c r="A93" s="51" t="s">
        <v>314</v>
      </c>
      <c r="B93" s="52" t="s">
        <v>30</v>
      </c>
      <c r="C93" s="51">
        <v>55710.502399999998</v>
      </c>
      <c r="D93" s="51" t="s">
        <v>57</v>
      </c>
      <c r="E93">
        <f t="shared" si="20"/>
        <v>5850.024922273119</v>
      </c>
      <c r="F93">
        <f t="shared" si="21"/>
        <v>5850</v>
      </c>
      <c r="G93">
        <f t="shared" si="22"/>
        <v>8.6299999995389953E-2</v>
      </c>
      <c r="K93">
        <f t="shared" si="19"/>
        <v>8.6299999995389953E-2</v>
      </c>
      <c r="O93">
        <f t="shared" ca="1" si="23"/>
        <v>8.5503718950917157E-2</v>
      </c>
      <c r="P93">
        <f t="shared" ca="1" si="24"/>
        <v>0.38179894789380708</v>
      </c>
      <c r="Q93" s="2">
        <f t="shared" si="25"/>
        <v>40692.002399999998</v>
      </c>
      <c r="R93">
        <f>G93</f>
        <v>8.6299999995389953E-2</v>
      </c>
    </row>
    <row r="94" spans="1:19" x14ac:dyDescent="0.2">
      <c r="A94" s="51" t="s">
        <v>373</v>
      </c>
      <c r="B94" s="52" t="s">
        <v>26</v>
      </c>
      <c r="C94" s="51">
        <v>55722.910600000003</v>
      </c>
      <c r="D94" s="51" t="s">
        <v>57</v>
      </c>
      <c r="E94">
        <f t="shared" si="20"/>
        <v>5853.6082426591929</v>
      </c>
      <c r="F94">
        <f t="shared" si="21"/>
        <v>5853.5</v>
      </c>
      <c r="G94">
        <f t="shared" si="22"/>
        <v>0.37481900000420865</v>
      </c>
      <c r="K94">
        <f t="shared" si="19"/>
        <v>0.37481900000420865</v>
      </c>
      <c r="O94">
        <f t="shared" ca="1" si="23"/>
        <v>8.5562013020261146E-2</v>
      </c>
      <c r="P94">
        <f t="shared" ca="1" si="24"/>
        <v>0.38166927961416242</v>
      </c>
      <c r="Q94" s="2">
        <f t="shared" si="25"/>
        <v>40704.410600000003</v>
      </c>
      <c r="S94">
        <f>G94</f>
        <v>0.37481900000420865</v>
      </c>
    </row>
    <row r="95" spans="1:19" x14ac:dyDescent="0.2">
      <c r="A95" s="51" t="s">
        <v>324</v>
      </c>
      <c r="B95" s="52" t="s">
        <v>30</v>
      </c>
      <c r="C95" s="51">
        <v>55727.815399999999</v>
      </c>
      <c r="D95" s="51" t="s">
        <v>57</v>
      </c>
      <c r="E95">
        <f t="shared" si="20"/>
        <v>5855.0246825803415</v>
      </c>
      <c r="F95">
        <f t="shared" si="21"/>
        <v>5855</v>
      </c>
      <c r="G95">
        <f t="shared" si="22"/>
        <v>8.5469999998167623E-2</v>
      </c>
      <c r="K95">
        <f t="shared" si="19"/>
        <v>8.5469999998167623E-2</v>
      </c>
      <c r="O95">
        <f t="shared" ca="1" si="23"/>
        <v>8.5586996192837134E-2</v>
      </c>
      <c r="P95">
        <f t="shared" ca="1" si="24"/>
        <v>0.38161370749431467</v>
      </c>
      <c r="Q95" s="2">
        <f t="shared" si="25"/>
        <v>40709.315399999999</v>
      </c>
      <c r="R95">
        <f>G95</f>
        <v>8.5469999998167623E-2</v>
      </c>
    </row>
    <row r="96" spans="1:19" x14ac:dyDescent="0.2">
      <c r="A96" s="51" t="s">
        <v>324</v>
      </c>
      <c r="B96" s="52" t="s">
        <v>26</v>
      </c>
      <c r="C96" s="51">
        <v>55736.766000000003</v>
      </c>
      <c r="D96" s="51" t="s">
        <v>57</v>
      </c>
      <c r="E96">
        <f t="shared" si="20"/>
        <v>5857.6094948373657</v>
      </c>
      <c r="F96">
        <f t="shared" si="21"/>
        <v>5857.5</v>
      </c>
      <c r="G96">
        <f t="shared" si="22"/>
        <v>0.37915500000235625</v>
      </c>
      <c r="K96">
        <f t="shared" si="19"/>
        <v>0.37915500000235625</v>
      </c>
      <c r="O96">
        <f t="shared" ca="1" si="23"/>
        <v>8.5628634813797122E-2</v>
      </c>
      <c r="P96">
        <f t="shared" ca="1" si="24"/>
        <v>0.38152108729456846</v>
      </c>
      <c r="Q96" s="2">
        <f t="shared" si="25"/>
        <v>40718.266000000003</v>
      </c>
      <c r="S96">
        <f>G96</f>
        <v>0.37915500000235625</v>
      </c>
    </row>
    <row r="97" spans="1:19" x14ac:dyDescent="0.2">
      <c r="A97" s="59" t="s">
        <v>374</v>
      </c>
      <c r="B97" s="60" t="s">
        <v>30</v>
      </c>
      <c r="C97" s="61">
        <v>55762.443800000001</v>
      </c>
      <c r="D97" s="61">
        <v>1E-4</v>
      </c>
      <c r="E97" s="33">
        <f t="shared" si="20"/>
        <v>5865.0248962823362</v>
      </c>
      <c r="F97">
        <f t="shared" si="21"/>
        <v>5865</v>
      </c>
      <c r="G97">
        <f t="shared" si="22"/>
        <v>8.6210000001301523E-2</v>
      </c>
      <c r="K97">
        <f t="shared" si="19"/>
        <v>8.6210000001301523E-2</v>
      </c>
      <c r="O97">
        <f t="shared" ca="1" si="23"/>
        <v>8.5753550676677087E-2</v>
      </c>
      <c r="P97">
        <f t="shared" ca="1" si="24"/>
        <v>0.38124322669532984</v>
      </c>
      <c r="Q97" s="2">
        <f t="shared" si="25"/>
        <v>40743.943800000001</v>
      </c>
      <c r="R97">
        <f>G97</f>
        <v>8.6210000001301523E-2</v>
      </c>
    </row>
    <row r="98" spans="1:19" x14ac:dyDescent="0.2">
      <c r="A98" s="51" t="s">
        <v>373</v>
      </c>
      <c r="B98" s="52" t="s">
        <v>26</v>
      </c>
      <c r="C98" s="51">
        <v>55833.712800000001</v>
      </c>
      <c r="D98" s="51" t="s">
        <v>57</v>
      </c>
      <c r="E98">
        <f t="shared" si="20"/>
        <v>5885.6064198389386</v>
      </c>
      <c r="F98">
        <f t="shared" si="21"/>
        <v>5885.5</v>
      </c>
      <c r="G98">
        <f t="shared" si="22"/>
        <v>0.36850699999922654</v>
      </c>
      <c r="K98">
        <f t="shared" si="19"/>
        <v>0.36850699999922654</v>
      </c>
      <c r="O98">
        <f t="shared" ca="1" si="23"/>
        <v>8.6094987368549009E-2</v>
      </c>
      <c r="P98">
        <f t="shared" ca="1" si="24"/>
        <v>0.3804837410574109</v>
      </c>
      <c r="Q98" s="2">
        <f t="shared" si="25"/>
        <v>40815.212800000001</v>
      </c>
      <c r="S98">
        <f>G98</f>
        <v>0.36850699999922654</v>
      </c>
    </row>
    <row r="99" spans="1:19" x14ac:dyDescent="0.2">
      <c r="A99" s="30" t="s">
        <v>52</v>
      </c>
      <c r="B99" s="28" t="s">
        <v>30</v>
      </c>
      <c r="C99" s="32">
        <v>55852.475400000003</v>
      </c>
      <c r="D99" s="32">
        <v>4.0000000000000002E-4</v>
      </c>
      <c r="E99" s="33">
        <f t="shared" si="20"/>
        <v>5891.0248050258097</v>
      </c>
      <c r="F99">
        <f t="shared" si="21"/>
        <v>5891</v>
      </c>
      <c r="G99">
        <f t="shared" si="22"/>
        <v>8.5894000003463589E-2</v>
      </c>
      <c r="K99">
        <f t="shared" si="19"/>
        <v>8.5894000003463589E-2</v>
      </c>
      <c r="O99">
        <f t="shared" ca="1" si="23"/>
        <v>8.6186592334660986E-2</v>
      </c>
      <c r="P99">
        <f t="shared" ca="1" si="24"/>
        <v>0.38027997661796931</v>
      </c>
      <c r="Q99" s="2">
        <f t="shared" si="25"/>
        <v>40833.975400000003</v>
      </c>
      <c r="R99">
        <f>G99</f>
        <v>8.5894000003463589E-2</v>
      </c>
    </row>
    <row r="100" spans="1:19" x14ac:dyDescent="0.2">
      <c r="A100" s="31" t="s">
        <v>51</v>
      </c>
      <c r="B100" s="34" t="s">
        <v>30</v>
      </c>
      <c r="C100" s="29">
        <v>56042.931600000004</v>
      </c>
      <c r="D100" s="29">
        <v>1.1000000000000001E-3</v>
      </c>
      <c r="E100" s="33">
        <f t="shared" si="20"/>
        <v>5946.0259803867784</v>
      </c>
      <c r="F100">
        <f t="shared" si="21"/>
        <v>5946</v>
      </c>
      <c r="G100">
        <f t="shared" si="22"/>
        <v>8.9964000006148126E-2</v>
      </c>
      <c r="K100">
        <f t="shared" si="19"/>
        <v>8.9964000006148126E-2</v>
      </c>
      <c r="O100">
        <f t="shared" ca="1" si="23"/>
        <v>8.7102641995780758E-2</v>
      </c>
      <c r="P100">
        <f t="shared" ca="1" si="24"/>
        <v>0.37824233222355269</v>
      </c>
      <c r="Q100" s="2">
        <f t="shared" si="25"/>
        <v>41024.431600000004</v>
      </c>
      <c r="R100">
        <f>G100</f>
        <v>8.9964000006148126E-2</v>
      </c>
    </row>
    <row r="101" spans="1:19" x14ac:dyDescent="0.2">
      <c r="A101" s="31" t="s">
        <v>51</v>
      </c>
      <c r="B101" s="34" t="s">
        <v>30</v>
      </c>
      <c r="C101" s="29">
        <v>56049.854399999997</v>
      </c>
      <c r="D101" s="29">
        <v>8.9999999999999998E-4</v>
      </c>
      <c r="E101" s="33">
        <f t="shared" si="20"/>
        <v>5948.0251914221162</v>
      </c>
      <c r="F101">
        <f t="shared" si="21"/>
        <v>5948</v>
      </c>
      <c r="G101">
        <f t="shared" si="22"/>
        <v>8.72319999980391E-2</v>
      </c>
      <c r="K101">
        <f t="shared" si="19"/>
        <v>8.72319999980391E-2</v>
      </c>
      <c r="O101">
        <f t="shared" ca="1" si="23"/>
        <v>8.7135952892548746E-2</v>
      </c>
      <c r="P101">
        <f t="shared" ca="1" si="24"/>
        <v>0.37816823606375571</v>
      </c>
      <c r="Q101" s="2">
        <f t="shared" si="25"/>
        <v>41031.354399999997</v>
      </c>
      <c r="R101">
        <f>G101</f>
        <v>8.72319999980391E-2</v>
      </c>
    </row>
    <row r="102" spans="1:19" x14ac:dyDescent="0.2">
      <c r="A102" s="32" t="s">
        <v>50</v>
      </c>
      <c r="B102" s="28" t="s">
        <v>30</v>
      </c>
      <c r="C102" s="32">
        <v>56049.856399999997</v>
      </c>
      <c r="D102" s="32">
        <v>5.9999999999999995E-4</v>
      </c>
      <c r="E102" s="33">
        <f t="shared" si="20"/>
        <v>5948.025768995074</v>
      </c>
      <c r="F102">
        <f t="shared" si="21"/>
        <v>5948</v>
      </c>
      <c r="G102">
        <f t="shared" si="22"/>
        <v>8.9231999998446554E-2</v>
      </c>
      <c r="K102">
        <f t="shared" si="19"/>
        <v>8.9231999998446554E-2</v>
      </c>
      <c r="O102">
        <f t="shared" ca="1" si="23"/>
        <v>8.7135952892548746E-2</v>
      </c>
      <c r="P102">
        <f t="shared" ca="1" si="24"/>
        <v>0.37816823606375571</v>
      </c>
      <c r="Q102" s="2">
        <f t="shared" si="25"/>
        <v>41031.356399999997</v>
      </c>
      <c r="R102">
        <f>G102</f>
        <v>8.9231999998446554E-2</v>
      </c>
    </row>
    <row r="103" spans="1:19" x14ac:dyDescent="0.2">
      <c r="A103" s="32" t="s">
        <v>50</v>
      </c>
      <c r="B103" s="28" t="s">
        <v>26</v>
      </c>
      <c r="C103" s="32">
        <v>56051.874300000003</v>
      </c>
      <c r="D103" s="32">
        <v>1.1000000000000001E-3</v>
      </c>
      <c r="E103" s="33">
        <f t="shared" si="20"/>
        <v>5948.6085112306182</v>
      </c>
      <c r="F103">
        <f t="shared" si="21"/>
        <v>5948.5</v>
      </c>
      <c r="G103">
        <f t="shared" si="22"/>
        <v>0.37574900000618072</v>
      </c>
      <c r="K103">
        <f t="shared" si="19"/>
        <v>0.37574900000618072</v>
      </c>
      <c r="O103">
        <f t="shared" ca="1" si="23"/>
        <v>8.7144280616740746E-2</v>
      </c>
      <c r="P103">
        <f t="shared" ca="1" si="24"/>
        <v>0.37814971202380648</v>
      </c>
      <c r="Q103" s="2">
        <f t="shared" si="25"/>
        <v>41033.374300000003</v>
      </c>
      <c r="S103">
        <f>G103</f>
        <v>0.37574900000618072</v>
      </c>
    </row>
    <row r="104" spans="1:19" x14ac:dyDescent="0.2">
      <c r="A104" s="30" t="s">
        <v>52</v>
      </c>
      <c r="B104" s="28" t="s">
        <v>30</v>
      </c>
      <c r="C104" s="32">
        <v>56181.440300000002</v>
      </c>
      <c r="D104" s="32">
        <v>4.0000000000000002E-4</v>
      </c>
      <c r="E104" s="33">
        <f t="shared" si="20"/>
        <v>5986.0254201410098</v>
      </c>
      <c r="F104">
        <f t="shared" si="21"/>
        <v>5986</v>
      </c>
      <c r="G104">
        <f t="shared" si="22"/>
        <v>8.8024000004224945E-2</v>
      </c>
      <c r="K104">
        <f t="shared" si="19"/>
        <v>8.8024000004224945E-2</v>
      </c>
      <c r="O104">
        <f t="shared" ca="1" si="23"/>
        <v>8.77688599311406E-2</v>
      </c>
      <c r="P104">
        <f t="shared" ca="1" si="24"/>
        <v>0.37676040902761337</v>
      </c>
      <c r="Q104" s="2">
        <f t="shared" si="25"/>
        <v>41162.940300000002</v>
      </c>
      <c r="R104">
        <f>G104</f>
        <v>8.8024000004224945E-2</v>
      </c>
    </row>
    <row r="105" spans="1:19" x14ac:dyDescent="0.2">
      <c r="A105" s="54" t="s">
        <v>54</v>
      </c>
      <c r="B105" s="55" t="s">
        <v>26</v>
      </c>
      <c r="C105" s="56">
        <v>56366.981299999999</v>
      </c>
      <c r="D105" s="56">
        <v>1.9E-3</v>
      </c>
      <c r="E105" s="33">
        <f t="shared" si="20"/>
        <v>6039.6071522014481</v>
      </c>
      <c r="F105">
        <f t="shared" si="21"/>
        <v>6039.5</v>
      </c>
      <c r="G105">
        <f t="shared" si="22"/>
        <v>0.37104299999919022</v>
      </c>
      <c r="K105">
        <f t="shared" si="19"/>
        <v>0.37104299999919022</v>
      </c>
      <c r="O105">
        <f t="shared" ca="1" si="23"/>
        <v>8.8659926419684371E-2</v>
      </c>
      <c r="P105">
        <f t="shared" ca="1" si="24"/>
        <v>0.37477833675304451</v>
      </c>
      <c r="Q105" s="2">
        <f t="shared" si="25"/>
        <v>41348.481299999999</v>
      </c>
      <c r="S105">
        <f>G105</f>
        <v>0.37104299999919022</v>
      </c>
    </row>
    <row r="106" spans="1:19" x14ac:dyDescent="0.2">
      <c r="A106" s="57" t="s">
        <v>53</v>
      </c>
      <c r="B106" s="58" t="s">
        <v>26</v>
      </c>
      <c r="C106" s="57">
        <v>56453.5311</v>
      </c>
      <c r="D106" s="57">
        <v>5.9999999999999995E-4</v>
      </c>
      <c r="E106" s="33">
        <f t="shared" si="20"/>
        <v>6064.6015641830836</v>
      </c>
      <c r="F106">
        <f t="shared" si="21"/>
        <v>6064.5</v>
      </c>
      <c r="G106">
        <f t="shared" si="22"/>
        <v>0.35169299999688519</v>
      </c>
      <c r="K106">
        <f t="shared" si="19"/>
        <v>0.35169299999688519</v>
      </c>
      <c r="O106">
        <f t="shared" ca="1" si="23"/>
        <v>8.9076312629284268E-2</v>
      </c>
      <c r="P106">
        <f t="shared" ca="1" si="24"/>
        <v>0.37385213475558243</v>
      </c>
      <c r="Q106" s="2">
        <f t="shared" si="25"/>
        <v>41435.0311</v>
      </c>
      <c r="S106">
        <f>G106</f>
        <v>0.35169299999688519</v>
      </c>
    </row>
    <row r="107" spans="1:19" x14ac:dyDescent="0.2">
      <c r="A107" s="68" t="s">
        <v>382</v>
      </c>
      <c r="B107" s="69" t="s">
        <v>30</v>
      </c>
      <c r="C107" s="70">
        <v>59024.390700000004</v>
      </c>
      <c r="D107" s="68">
        <v>2.5000000000000001E-3</v>
      </c>
      <c r="E107" s="33">
        <f t="shared" ref="E107" si="26">+(C107-C$7)/C$8</f>
        <v>6807.0310555203569</v>
      </c>
      <c r="F107">
        <f t="shared" ref="F107" si="27">ROUND(2*E107,0)/2</f>
        <v>6807</v>
      </c>
      <c r="G107">
        <f t="shared" ref="G107" si="28">+C107-(C$7+F107*C$8)</f>
        <v>0.10753800000384217</v>
      </c>
      <c r="K107">
        <f t="shared" ref="K107" si="29">+G107</f>
        <v>0.10753800000384217</v>
      </c>
      <c r="O107">
        <f t="shared" ref="O107" ca="1" si="30">+C$11+C$12*F107</f>
        <v>0.10144298305440122</v>
      </c>
      <c r="P107">
        <f t="shared" ref="P107" ca="1" si="31">+D$11+D$12*$F107</f>
        <v>0.34634393543095865</v>
      </c>
      <c r="Q107" s="2">
        <f t="shared" ref="Q107" si="32">+C107-15018.5</f>
        <v>44005.890700000004</v>
      </c>
      <c r="R107">
        <f t="shared" ref="R105:R107" si="33">G107</f>
        <v>0.10753800000384217</v>
      </c>
    </row>
    <row r="108" spans="1:19" x14ac:dyDescent="0.2">
      <c r="B108" s="5"/>
      <c r="Q108" s="2"/>
    </row>
    <row r="109" spans="1:19" x14ac:dyDescent="0.2">
      <c r="B109" s="5"/>
      <c r="Q109" s="2"/>
    </row>
    <row r="110" spans="1:19" x14ac:dyDescent="0.2">
      <c r="B110" s="5"/>
      <c r="Q110" s="2"/>
    </row>
    <row r="111" spans="1:19" x14ac:dyDescent="0.2">
      <c r="B111" s="5"/>
      <c r="Q111" s="2"/>
    </row>
    <row r="112" spans="1:19" x14ac:dyDescent="0.2">
      <c r="B112" s="5"/>
      <c r="Q112" s="2"/>
    </row>
    <row r="113" spans="2:17" x14ac:dyDescent="0.2">
      <c r="B113" s="5"/>
      <c r="Q113" s="2"/>
    </row>
    <row r="114" spans="2:17" x14ac:dyDescent="0.2">
      <c r="B114" s="5"/>
      <c r="Q114" s="2"/>
    </row>
    <row r="115" spans="2:17" x14ac:dyDescent="0.2">
      <c r="B115" s="5"/>
      <c r="Q115" s="2"/>
    </row>
    <row r="116" spans="2:17" x14ac:dyDescent="0.2">
      <c r="B116" s="5"/>
      <c r="Q116" s="2"/>
    </row>
    <row r="117" spans="2:17" x14ac:dyDescent="0.2">
      <c r="B117" s="5"/>
      <c r="Q117" s="2"/>
    </row>
    <row r="118" spans="2:17" x14ac:dyDescent="0.2">
      <c r="B118" s="5"/>
      <c r="Q118" s="2"/>
    </row>
    <row r="119" spans="2:17" x14ac:dyDescent="0.2">
      <c r="B119" s="5"/>
      <c r="Q119" s="2"/>
    </row>
    <row r="120" spans="2:17" x14ac:dyDescent="0.2">
      <c r="Q120" s="2"/>
    </row>
    <row r="121" spans="2:17" x14ac:dyDescent="0.2">
      <c r="Q121" s="2"/>
    </row>
    <row r="122" spans="2:17" x14ac:dyDescent="0.2">
      <c r="Q122" s="2"/>
    </row>
    <row r="123" spans="2:17" x14ac:dyDescent="0.2">
      <c r="Q123" s="2"/>
    </row>
    <row r="124" spans="2:17" x14ac:dyDescent="0.2">
      <c r="Q124" s="2"/>
    </row>
    <row r="125" spans="2:17" x14ac:dyDescent="0.2">
      <c r="Q125" s="2"/>
    </row>
    <row r="126" spans="2:17" x14ac:dyDescent="0.2">
      <c r="Q126" s="2"/>
    </row>
    <row r="127" spans="2:17" x14ac:dyDescent="0.2">
      <c r="Q127" s="2"/>
    </row>
    <row r="128" spans="2:17" x14ac:dyDescent="0.2">
      <c r="Q128" s="2"/>
    </row>
    <row r="129" spans="17:17" x14ac:dyDescent="0.2">
      <c r="Q129" s="2"/>
    </row>
    <row r="130" spans="17:17" x14ac:dyDescent="0.2">
      <c r="Q130" s="2"/>
    </row>
    <row r="131" spans="17:17" x14ac:dyDescent="0.2">
      <c r="Q131" s="2"/>
    </row>
    <row r="132" spans="17:17" x14ac:dyDescent="0.2">
      <c r="Q132" s="2"/>
    </row>
    <row r="133" spans="17:17" x14ac:dyDescent="0.2">
      <c r="Q133" s="2"/>
    </row>
    <row r="134" spans="17:17" x14ac:dyDescent="0.2">
      <c r="Q134" s="2"/>
    </row>
    <row r="135" spans="17:17" x14ac:dyDescent="0.2">
      <c r="Q135" s="2"/>
    </row>
    <row r="136" spans="17:17" x14ac:dyDescent="0.2">
      <c r="Q136" s="2"/>
    </row>
    <row r="137" spans="17:17" x14ac:dyDescent="0.2">
      <c r="Q137" s="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2"/>
  <sheetViews>
    <sheetView topLeftCell="A43" workbookViewId="0">
      <selection activeCell="A35" sqref="A35:D90"/>
    </sheetView>
  </sheetViews>
  <sheetFormatPr defaultRowHeight="12.75" x14ac:dyDescent="0.2"/>
  <cols>
    <col min="1" max="1" width="19.7109375" style="38" customWidth="1"/>
    <col min="2" max="2" width="4.42578125" style="15" customWidth="1"/>
    <col min="3" max="3" width="12.7109375" style="38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38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7" t="s">
        <v>55</v>
      </c>
      <c r="I1" s="39" t="s">
        <v>56</v>
      </c>
      <c r="J1" s="40" t="s">
        <v>57</v>
      </c>
    </row>
    <row r="2" spans="1:16" x14ac:dyDescent="0.2">
      <c r="I2" s="41" t="s">
        <v>58</v>
      </c>
      <c r="J2" s="42" t="s">
        <v>59</v>
      </c>
    </row>
    <row r="3" spans="1:16" x14ac:dyDescent="0.2">
      <c r="A3" s="43" t="s">
        <v>60</v>
      </c>
      <c r="I3" s="41" t="s">
        <v>61</v>
      </c>
      <c r="J3" s="42" t="s">
        <v>62</v>
      </c>
    </row>
    <row r="4" spans="1:16" x14ac:dyDescent="0.2">
      <c r="I4" s="41" t="s">
        <v>63</v>
      </c>
      <c r="J4" s="42" t="s">
        <v>62</v>
      </c>
    </row>
    <row r="5" spans="1:16" ht="13.5" thickBot="1" x14ac:dyDescent="0.25">
      <c r="I5" s="44" t="s">
        <v>64</v>
      </c>
      <c r="J5" s="45" t="s">
        <v>65</v>
      </c>
    </row>
    <row r="10" spans="1:16" ht="13.5" thickBot="1" x14ac:dyDescent="0.25"/>
    <row r="11" spans="1:16" ht="12.75" customHeight="1" thickBot="1" x14ac:dyDescent="0.25">
      <c r="A11" s="38" t="str">
        <f t="shared" ref="A11:A42" si="0">P11</f>
        <v> BBS 109 </v>
      </c>
      <c r="B11" s="5" t="str">
        <f t="shared" ref="B11:B42" si="1">IF(H11=INT(H11),"I","II")</f>
        <v>I</v>
      </c>
      <c r="C11" s="38">
        <f t="shared" ref="C11:C42" si="2">1*G11</f>
        <v>49896.4879</v>
      </c>
      <c r="D11" s="15" t="str">
        <f t="shared" ref="D11:D42" si="3">VLOOKUP(F11,I$1:J$5,2,FALSE)</f>
        <v>vis</v>
      </c>
      <c r="E11" s="46">
        <f>VLOOKUP(C11,Active!C$21:E$973,3,FALSE)</f>
        <v>4171.016147207175</v>
      </c>
      <c r="F11" s="5" t="s">
        <v>64</v>
      </c>
      <c r="G11" s="15" t="str">
        <f t="shared" ref="G11:G42" si="4">MID(I11,3,LEN(I11)-3)</f>
        <v>49896.4879</v>
      </c>
      <c r="H11" s="38">
        <f t="shared" ref="H11:H42" si="5">1*K11</f>
        <v>4171</v>
      </c>
      <c r="I11" s="47" t="s">
        <v>188</v>
      </c>
      <c r="J11" s="48" t="s">
        <v>189</v>
      </c>
      <c r="K11" s="47">
        <v>4171</v>
      </c>
      <c r="L11" s="47" t="s">
        <v>190</v>
      </c>
      <c r="M11" s="48" t="s">
        <v>191</v>
      </c>
      <c r="N11" s="48" t="s">
        <v>192</v>
      </c>
      <c r="O11" s="49" t="s">
        <v>193</v>
      </c>
      <c r="P11" s="49" t="s">
        <v>194</v>
      </c>
    </row>
    <row r="12" spans="1:16" ht="12.75" customHeight="1" thickBot="1" x14ac:dyDescent="0.25">
      <c r="A12" s="38" t="str">
        <f t="shared" si="0"/>
        <v> BBS 118 </v>
      </c>
      <c r="B12" s="5" t="str">
        <f t="shared" si="1"/>
        <v>II</v>
      </c>
      <c r="C12" s="38">
        <f t="shared" si="2"/>
        <v>51034.392899999999</v>
      </c>
      <c r="D12" s="15" t="str">
        <f t="shared" si="3"/>
        <v>vis</v>
      </c>
      <c r="E12" s="46">
        <f>VLOOKUP(C12,Active!C$21:E$973,3,FALSE)</f>
        <v>4499.6277253501967</v>
      </c>
      <c r="F12" s="5" t="s">
        <v>64</v>
      </c>
      <c r="G12" s="15" t="str">
        <f t="shared" si="4"/>
        <v>51034.3929</v>
      </c>
      <c r="H12" s="38">
        <f t="shared" si="5"/>
        <v>4499.5</v>
      </c>
      <c r="I12" s="47" t="s">
        <v>204</v>
      </c>
      <c r="J12" s="48" t="s">
        <v>205</v>
      </c>
      <c r="K12" s="47">
        <v>4499.5</v>
      </c>
      <c r="L12" s="47" t="s">
        <v>206</v>
      </c>
      <c r="M12" s="48" t="s">
        <v>191</v>
      </c>
      <c r="N12" s="48" t="s">
        <v>192</v>
      </c>
      <c r="O12" s="49" t="s">
        <v>193</v>
      </c>
      <c r="P12" s="49" t="s">
        <v>207</v>
      </c>
    </row>
    <row r="13" spans="1:16" ht="12.75" customHeight="1" thickBot="1" x14ac:dyDescent="0.25">
      <c r="A13" s="38" t="str">
        <f t="shared" si="0"/>
        <v>IBVS 5670 </v>
      </c>
      <c r="B13" s="5" t="str">
        <f t="shared" si="1"/>
        <v>I</v>
      </c>
      <c r="C13" s="38">
        <f t="shared" si="2"/>
        <v>53497.782800000001</v>
      </c>
      <c r="D13" s="15" t="str">
        <f t="shared" si="3"/>
        <v>vis</v>
      </c>
      <c r="E13" s="46">
        <f>VLOOKUP(C13,Active!C$21:E$973,3,FALSE)</f>
        <v>5211.0214204482781</v>
      </c>
      <c r="F13" s="5" t="s">
        <v>64</v>
      </c>
      <c r="G13" s="15" t="str">
        <f t="shared" si="4"/>
        <v>53497.7828</v>
      </c>
      <c r="H13" s="38">
        <f t="shared" si="5"/>
        <v>5211</v>
      </c>
      <c r="I13" s="47" t="s">
        <v>212</v>
      </c>
      <c r="J13" s="48" t="s">
        <v>213</v>
      </c>
      <c r="K13" s="47">
        <v>5211</v>
      </c>
      <c r="L13" s="47" t="s">
        <v>214</v>
      </c>
      <c r="M13" s="48" t="s">
        <v>191</v>
      </c>
      <c r="N13" s="48" t="s">
        <v>192</v>
      </c>
      <c r="O13" s="49" t="s">
        <v>215</v>
      </c>
      <c r="P13" s="50" t="s">
        <v>216</v>
      </c>
    </row>
    <row r="14" spans="1:16" ht="12.75" customHeight="1" thickBot="1" x14ac:dyDescent="0.25">
      <c r="A14" s="38" t="str">
        <f t="shared" si="0"/>
        <v>IBVS 5670 </v>
      </c>
      <c r="B14" s="5" t="str">
        <f t="shared" si="1"/>
        <v>II</v>
      </c>
      <c r="C14" s="38">
        <f t="shared" si="2"/>
        <v>53499.851300000002</v>
      </c>
      <c r="D14" s="15" t="str">
        <f t="shared" si="3"/>
        <v>vis</v>
      </c>
      <c r="E14" s="46">
        <f>VLOOKUP(C14,Active!C$21:E$973,3,FALSE)</f>
        <v>5211.6187752796468</v>
      </c>
      <c r="F14" s="5" t="s">
        <v>64</v>
      </c>
      <c r="G14" s="15" t="str">
        <f t="shared" si="4"/>
        <v>53499.8513</v>
      </c>
      <c r="H14" s="38">
        <f t="shared" si="5"/>
        <v>5211.5</v>
      </c>
      <c r="I14" s="47" t="s">
        <v>217</v>
      </c>
      <c r="J14" s="48" t="s">
        <v>218</v>
      </c>
      <c r="K14" s="47">
        <v>5211.5</v>
      </c>
      <c r="L14" s="47" t="s">
        <v>219</v>
      </c>
      <c r="M14" s="48" t="s">
        <v>191</v>
      </c>
      <c r="N14" s="48" t="s">
        <v>192</v>
      </c>
      <c r="O14" s="49" t="s">
        <v>215</v>
      </c>
      <c r="P14" s="50" t="s">
        <v>216</v>
      </c>
    </row>
    <row r="15" spans="1:16" ht="12.75" customHeight="1" thickBot="1" x14ac:dyDescent="0.25">
      <c r="A15" s="38" t="str">
        <f t="shared" si="0"/>
        <v>IBVS 5670 </v>
      </c>
      <c r="B15" s="5" t="str">
        <f t="shared" si="1"/>
        <v>I</v>
      </c>
      <c r="C15" s="38">
        <f t="shared" si="2"/>
        <v>53542.798799999997</v>
      </c>
      <c r="D15" s="15" t="str">
        <f t="shared" si="3"/>
        <v>vis</v>
      </c>
      <c r="E15" s="46">
        <f>VLOOKUP(C15,Active!C$21:E$973,3,FALSE)</f>
        <v>5224.0214325773086</v>
      </c>
      <c r="F15" s="5" t="s">
        <v>64</v>
      </c>
      <c r="G15" s="15" t="str">
        <f t="shared" si="4"/>
        <v>53542.7988</v>
      </c>
      <c r="H15" s="38">
        <f t="shared" si="5"/>
        <v>5224</v>
      </c>
      <c r="I15" s="47" t="s">
        <v>220</v>
      </c>
      <c r="J15" s="48" t="s">
        <v>221</v>
      </c>
      <c r="K15" s="47">
        <v>5224</v>
      </c>
      <c r="L15" s="47" t="s">
        <v>214</v>
      </c>
      <c r="M15" s="48" t="s">
        <v>191</v>
      </c>
      <c r="N15" s="48" t="s">
        <v>192</v>
      </c>
      <c r="O15" s="49" t="s">
        <v>215</v>
      </c>
      <c r="P15" s="50" t="s">
        <v>216</v>
      </c>
    </row>
    <row r="16" spans="1:16" ht="12.75" customHeight="1" thickBot="1" x14ac:dyDescent="0.25">
      <c r="A16" s="38" t="str">
        <f t="shared" si="0"/>
        <v>IBVS 5670 </v>
      </c>
      <c r="B16" s="5" t="str">
        <f t="shared" si="1"/>
        <v>II</v>
      </c>
      <c r="C16" s="38">
        <f t="shared" si="2"/>
        <v>53544.855300000003</v>
      </c>
      <c r="D16" s="15" t="str">
        <f t="shared" si="3"/>
        <v>vis</v>
      </c>
      <c r="E16" s="46">
        <f>VLOOKUP(C16,Active!C$21:E$973,3,FALSE)</f>
        <v>5224.615321970934</v>
      </c>
      <c r="F16" s="5" t="s">
        <v>64</v>
      </c>
      <c r="G16" s="15" t="str">
        <f t="shared" si="4"/>
        <v>53544.8553</v>
      </c>
      <c r="H16" s="38">
        <f t="shared" si="5"/>
        <v>5224.5</v>
      </c>
      <c r="I16" s="47" t="s">
        <v>222</v>
      </c>
      <c r="J16" s="48" t="s">
        <v>223</v>
      </c>
      <c r="K16" s="47">
        <v>5224.5</v>
      </c>
      <c r="L16" s="47" t="s">
        <v>224</v>
      </c>
      <c r="M16" s="48" t="s">
        <v>191</v>
      </c>
      <c r="N16" s="48" t="s">
        <v>192</v>
      </c>
      <c r="O16" s="49" t="s">
        <v>215</v>
      </c>
      <c r="P16" s="50" t="s">
        <v>216</v>
      </c>
    </row>
    <row r="17" spans="1:16" ht="12.75" customHeight="1" thickBot="1" x14ac:dyDescent="0.25">
      <c r="A17" s="38" t="str">
        <f t="shared" si="0"/>
        <v>IBVS 5670 </v>
      </c>
      <c r="B17" s="5" t="str">
        <f t="shared" si="1"/>
        <v>II</v>
      </c>
      <c r="C17" s="38">
        <f t="shared" si="2"/>
        <v>53558.714500000002</v>
      </c>
      <c r="D17" s="15" t="str">
        <f t="shared" si="3"/>
        <v>vis</v>
      </c>
      <c r="E17" s="46">
        <f>VLOOKUP(C17,Active!C$21:E$973,3,FALSE)</f>
        <v>5228.6176715377251</v>
      </c>
      <c r="F17" s="5" t="s">
        <v>64</v>
      </c>
      <c r="G17" s="15" t="str">
        <f t="shared" si="4"/>
        <v>53558.7145</v>
      </c>
      <c r="H17" s="38">
        <f t="shared" si="5"/>
        <v>5228.5</v>
      </c>
      <c r="I17" s="47" t="s">
        <v>225</v>
      </c>
      <c r="J17" s="48" t="s">
        <v>226</v>
      </c>
      <c r="K17" s="47">
        <v>5228.5</v>
      </c>
      <c r="L17" s="47" t="s">
        <v>227</v>
      </c>
      <c r="M17" s="48" t="s">
        <v>191</v>
      </c>
      <c r="N17" s="48" t="s">
        <v>192</v>
      </c>
      <c r="O17" s="49" t="s">
        <v>215</v>
      </c>
      <c r="P17" s="50" t="s">
        <v>216</v>
      </c>
    </row>
    <row r="18" spans="1:16" ht="12.75" customHeight="1" thickBot="1" x14ac:dyDescent="0.25">
      <c r="A18" s="38" t="str">
        <f t="shared" si="0"/>
        <v>IBVS 5670 </v>
      </c>
      <c r="B18" s="5" t="str">
        <f t="shared" si="1"/>
        <v>I</v>
      </c>
      <c r="C18" s="38">
        <f t="shared" si="2"/>
        <v>53580.883800000003</v>
      </c>
      <c r="D18" s="15" t="str">
        <f t="shared" si="3"/>
        <v>vis</v>
      </c>
      <c r="E18" s="46">
        <f>VLOOKUP(C18,Active!C$21:E$973,3,FALSE)</f>
        <v>5235.0198656218772</v>
      </c>
      <c r="F18" s="5" t="s">
        <v>64</v>
      </c>
      <c r="G18" s="15" t="str">
        <f t="shared" si="4"/>
        <v>53580.8838</v>
      </c>
      <c r="H18" s="38">
        <f t="shared" si="5"/>
        <v>5235</v>
      </c>
      <c r="I18" s="47" t="s">
        <v>228</v>
      </c>
      <c r="J18" s="48" t="s">
        <v>229</v>
      </c>
      <c r="K18" s="47">
        <v>5235</v>
      </c>
      <c r="L18" s="47" t="s">
        <v>230</v>
      </c>
      <c r="M18" s="48" t="s">
        <v>191</v>
      </c>
      <c r="N18" s="48" t="s">
        <v>192</v>
      </c>
      <c r="O18" s="49" t="s">
        <v>215</v>
      </c>
      <c r="P18" s="50" t="s">
        <v>216</v>
      </c>
    </row>
    <row r="19" spans="1:16" ht="12.75" customHeight="1" thickBot="1" x14ac:dyDescent="0.25">
      <c r="A19" s="38" t="str">
        <f t="shared" si="0"/>
        <v>IBVS 5745 </v>
      </c>
      <c r="B19" s="5" t="str">
        <f t="shared" si="1"/>
        <v>I</v>
      </c>
      <c r="C19" s="38">
        <f t="shared" si="2"/>
        <v>53594.740299999998</v>
      </c>
      <c r="D19" s="15" t="str">
        <f t="shared" si="3"/>
        <v>vis</v>
      </c>
      <c r="E19" s="46">
        <f>VLOOKUP(C19,Active!C$21:E$973,3,FALSE)</f>
        <v>5239.0214354651735</v>
      </c>
      <c r="F19" s="5" t="s">
        <v>64</v>
      </c>
      <c r="G19" s="15" t="str">
        <f t="shared" si="4"/>
        <v>53594.7403</v>
      </c>
      <c r="H19" s="38">
        <f t="shared" si="5"/>
        <v>5239</v>
      </c>
      <c r="I19" s="47" t="s">
        <v>231</v>
      </c>
      <c r="J19" s="48" t="s">
        <v>232</v>
      </c>
      <c r="K19" s="47">
        <v>5239</v>
      </c>
      <c r="L19" s="47" t="s">
        <v>214</v>
      </c>
      <c r="M19" s="48" t="s">
        <v>191</v>
      </c>
      <c r="N19" s="48" t="s">
        <v>192</v>
      </c>
      <c r="O19" s="49" t="s">
        <v>233</v>
      </c>
      <c r="P19" s="50" t="s">
        <v>234</v>
      </c>
    </row>
    <row r="20" spans="1:16" ht="12.75" customHeight="1" thickBot="1" x14ac:dyDescent="0.25">
      <c r="A20" s="38" t="str">
        <f t="shared" si="0"/>
        <v>IBVS 5745 </v>
      </c>
      <c r="B20" s="5" t="str">
        <f t="shared" si="1"/>
        <v>II</v>
      </c>
      <c r="C20" s="38">
        <f t="shared" si="2"/>
        <v>53603.731800000001</v>
      </c>
      <c r="D20" s="15" t="str">
        <f t="shared" si="3"/>
        <v>vis</v>
      </c>
      <c r="E20" s="46">
        <f>VLOOKUP(C20,Active!C$21:E$973,3,FALSE)</f>
        <v>5241.61805908918</v>
      </c>
      <c r="F20" s="5" t="s">
        <v>64</v>
      </c>
      <c r="G20" s="15" t="str">
        <f t="shared" si="4"/>
        <v>53603.7318</v>
      </c>
      <c r="H20" s="38">
        <f t="shared" si="5"/>
        <v>5241.5</v>
      </c>
      <c r="I20" s="47" t="s">
        <v>235</v>
      </c>
      <c r="J20" s="48" t="s">
        <v>236</v>
      </c>
      <c r="K20" s="47">
        <v>5241.5</v>
      </c>
      <c r="L20" s="47" t="s">
        <v>237</v>
      </c>
      <c r="M20" s="48" t="s">
        <v>191</v>
      </c>
      <c r="N20" s="48" t="s">
        <v>192</v>
      </c>
      <c r="O20" s="49" t="s">
        <v>233</v>
      </c>
      <c r="P20" s="50" t="s">
        <v>234</v>
      </c>
    </row>
    <row r="21" spans="1:16" ht="12.75" customHeight="1" thickBot="1" x14ac:dyDescent="0.25">
      <c r="A21" s="38" t="str">
        <f t="shared" si="0"/>
        <v>IBVS 5764 </v>
      </c>
      <c r="B21" s="5" t="str">
        <f t="shared" si="1"/>
        <v>II</v>
      </c>
      <c r="C21" s="38">
        <f t="shared" si="2"/>
        <v>53866.9</v>
      </c>
      <c r="D21" s="15" t="str">
        <f t="shared" si="3"/>
        <v>vis</v>
      </c>
      <c r="E21" s="46">
        <f>VLOOKUP(C21,Active!C$21:E$973,3,FALSE)</f>
        <v>5317.617476895638</v>
      </c>
      <c r="F21" s="5" t="s">
        <v>64</v>
      </c>
      <c r="G21" s="15" t="str">
        <f t="shared" si="4"/>
        <v>53866.9000</v>
      </c>
      <c r="H21" s="38">
        <f t="shared" si="5"/>
        <v>5317.5</v>
      </c>
      <c r="I21" s="47" t="s">
        <v>238</v>
      </c>
      <c r="J21" s="48" t="s">
        <v>239</v>
      </c>
      <c r="K21" s="47">
        <v>5317.5</v>
      </c>
      <c r="L21" s="47" t="s">
        <v>240</v>
      </c>
      <c r="M21" s="48" t="s">
        <v>241</v>
      </c>
      <c r="N21" s="48" t="s">
        <v>64</v>
      </c>
      <c r="O21" s="49" t="s">
        <v>215</v>
      </c>
      <c r="P21" s="50" t="s">
        <v>242</v>
      </c>
    </row>
    <row r="22" spans="1:16" ht="12.75" customHeight="1" thickBot="1" x14ac:dyDescent="0.25">
      <c r="A22" s="38" t="str">
        <f t="shared" si="0"/>
        <v>IBVS 5764 </v>
      </c>
      <c r="B22" s="5" t="str">
        <f t="shared" si="1"/>
        <v>II</v>
      </c>
      <c r="C22" s="38">
        <f t="shared" si="2"/>
        <v>53873.823900000003</v>
      </c>
      <c r="D22" s="15" t="str">
        <f t="shared" si="3"/>
        <v>vis</v>
      </c>
      <c r="E22" s="46">
        <f>VLOOKUP(C22,Active!C$21:E$973,3,FALSE)</f>
        <v>5319.6170055961056</v>
      </c>
      <c r="F22" s="5" t="s">
        <v>64</v>
      </c>
      <c r="G22" s="15" t="str">
        <f t="shared" si="4"/>
        <v>53873.8239</v>
      </c>
      <c r="H22" s="38">
        <f t="shared" si="5"/>
        <v>5319.5</v>
      </c>
      <c r="I22" s="47" t="s">
        <v>243</v>
      </c>
      <c r="J22" s="48" t="s">
        <v>244</v>
      </c>
      <c r="K22" s="47">
        <v>5319.5</v>
      </c>
      <c r="L22" s="47" t="s">
        <v>245</v>
      </c>
      <c r="M22" s="48" t="s">
        <v>241</v>
      </c>
      <c r="N22" s="48" t="s">
        <v>64</v>
      </c>
      <c r="O22" s="49" t="s">
        <v>215</v>
      </c>
      <c r="P22" s="50" t="s">
        <v>242</v>
      </c>
    </row>
    <row r="23" spans="1:16" ht="12.75" customHeight="1" thickBot="1" x14ac:dyDescent="0.25">
      <c r="A23" s="38" t="str">
        <f t="shared" si="0"/>
        <v>BAVM 178 </v>
      </c>
      <c r="B23" s="5" t="str">
        <f t="shared" si="1"/>
        <v>I</v>
      </c>
      <c r="C23" s="38">
        <f t="shared" si="2"/>
        <v>53899.465799999998</v>
      </c>
      <c r="D23" s="15" t="str">
        <f t="shared" si="3"/>
        <v>vis</v>
      </c>
      <c r="E23" s="46">
        <f>VLOOKUP(C23,Active!C$21:E$973,3,FALSE)</f>
        <v>5327.0220396064879</v>
      </c>
      <c r="F23" s="5" t="s">
        <v>64</v>
      </c>
      <c r="G23" s="15" t="str">
        <f t="shared" si="4"/>
        <v>53899.4658</v>
      </c>
      <c r="H23" s="38">
        <f t="shared" si="5"/>
        <v>5327</v>
      </c>
      <c r="I23" s="47" t="s">
        <v>246</v>
      </c>
      <c r="J23" s="48" t="s">
        <v>247</v>
      </c>
      <c r="K23" s="47">
        <v>5327</v>
      </c>
      <c r="L23" s="47" t="s">
        <v>248</v>
      </c>
      <c r="M23" s="48" t="s">
        <v>241</v>
      </c>
      <c r="N23" s="48" t="s">
        <v>249</v>
      </c>
      <c r="O23" s="49" t="s">
        <v>250</v>
      </c>
      <c r="P23" s="50" t="s">
        <v>251</v>
      </c>
    </row>
    <row r="24" spans="1:16" ht="12.75" customHeight="1" thickBot="1" x14ac:dyDescent="0.25">
      <c r="A24" s="38" t="str">
        <f t="shared" si="0"/>
        <v>IBVS 5713 </v>
      </c>
      <c r="B24" s="5" t="str">
        <f t="shared" si="1"/>
        <v>I</v>
      </c>
      <c r="C24" s="38">
        <f t="shared" si="2"/>
        <v>53899.466899999999</v>
      </c>
      <c r="D24" s="15" t="str">
        <f t="shared" si="3"/>
        <v>vis</v>
      </c>
      <c r="E24" s="46">
        <f>VLOOKUP(C24,Active!C$21:E$973,3,FALSE)</f>
        <v>5327.022357271615</v>
      </c>
      <c r="F24" s="5" t="s">
        <v>64</v>
      </c>
      <c r="G24" s="15" t="str">
        <f t="shared" si="4"/>
        <v>53899.4669</v>
      </c>
      <c r="H24" s="38">
        <f t="shared" si="5"/>
        <v>5327</v>
      </c>
      <c r="I24" s="47" t="s">
        <v>252</v>
      </c>
      <c r="J24" s="48" t="s">
        <v>253</v>
      </c>
      <c r="K24" s="47" t="s">
        <v>254</v>
      </c>
      <c r="L24" s="47" t="s">
        <v>255</v>
      </c>
      <c r="M24" s="48" t="s">
        <v>191</v>
      </c>
      <c r="N24" s="48" t="s">
        <v>192</v>
      </c>
      <c r="O24" s="49" t="s">
        <v>193</v>
      </c>
      <c r="P24" s="50" t="s">
        <v>256</v>
      </c>
    </row>
    <row r="25" spans="1:16" ht="12.75" customHeight="1" thickBot="1" x14ac:dyDescent="0.25">
      <c r="A25" s="38" t="str">
        <f t="shared" si="0"/>
        <v>IBVS 5910 </v>
      </c>
      <c r="B25" s="5" t="str">
        <f t="shared" si="1"/>
        <v>I</v>
      </c>
      <c r="C25" s="38">
        <f t="shared" si="2"/>
        <v>54612.798900000002</v>
      </c>
      <c r="D25" s="15" t="str">
        <f t="shared" si="3"/>
        <v>vis</v>
      </c>
      <c r="E25" s="46">
        <f>VLOOKUP(C25,Active!C$21:E$973,3,FALSE)</f>
        <v>5533.0229937570148</v>
      </c>
      <c r="F25" s="5" t="s">
        <v>64</v>
      </c>
      <c r="G25" s="15" t="str">
        <f t="shared" si="4"/>
        <v>54612.7989</v>
      </c>
      <c r="H25" s="38">
        <f t="shared" si="5"/>
        <v>5533</v>
      </c>
      <c r="I25" s="47" t="s">
        <v>262</v>
      </c>
      <c r="J25" s="48" t="s">
        <v>263</v>
      </c>
      <c r="K25" s="47" t="s">
        <v>264</v>
      </c>
      <c r="L25" s="47" t="s">
        <v>265</v>
      </c>
      <c r="M25" s="48" t="s">
        <v>241</v>
      </c>
      <c r="N25" s="48" t="s">
        <v>64</v>
      </c>
      <c r="O25" s="49" t="s">
        <v>215</v>
      </c>
      <c r="P25" s="50" t="s">
        <v>266</v>
      </c>
    </row>
    <row r="26" spans="1:16" ht="12.75" customHeight="1" thickBot="1" x14ac:dyDescent="0.25">
      <c r="A26" s="38" t="str">
        <f t="shared" si="0"/>
        <v>IBVS 5933 </v>
      </c>
      <c r="B26" s="5" t="str">
        <f t="shared" si="1"/>
        <v>II</v>
      </c>
      <c r="C26" s="38">
        <f t="shared" si="2"/>
        <v>54978.427499999998</v>
      </c>
      <c r="D26" s="15" t="str">
        <f t="shared" si="3"/>
        <v>vis</v>
      </c>
      <c r="E26" s="46">
        <f>VLOOKUP(C26,Active!C$21:E$973,3,FALSE)</f>
        <v>5638.6115896944812</v>
      </c>
      <c r="F26" s="5" t="s">
        <v>64</v>
      </c>
      <c r="G26" s="15" t="str">
        <f t="shared" si="4"/>
        <v>54978.4275</v>
      </c>
      <c r="H26" s="38">
        <f t="shared" si="5"/>
        <v>5638.5</v>
      </c>
      <c r="I26" s="47" t="s">
        <v>272</v>
      </c>
      <c r="J26" s="48" t="s">
        <v>273</v>
      </c>
      <c r="K26" s="47" t="s">
        <v>274</v>
      </c>
      <c r="L26" s="47" t="s">
        <v>275</v>
      </c>
      <c r="M26" s="48" t="s">
        <v>241</v>
      </c>
      <c r="N26" s="48" t="s">
        <v>64</v>
      </c>
      <c r="O26" s="49" t="s">
        <v>276</v>
      </c>
      <c r="P26" s="50" t="s">
        <v>277</v>
      </c>
    </row>
    <row r="27" spans="1:16" ht="12.75" customHeight="1" thickBot="1" x14ac:dyDescent="0.25">
      <c r="A27" s="38" t="str">
        <f t="shared" si="0"/>
        <v>OEJV 0160 </v>
      </c>
      <c r="B27" s="5" t="str">
        <f t="shared" si="1"/>
        <v>I</v>
      </c>
      <c r="C27" s="38">
        <f t="shared" si="2"/>
        <v>55852.475400000003</v>
      </c>
      <c r="D27" s="15" t="str">
        <f t="shared" si="3"/>
        <v>vis</v>
      </c>
      <c r="E27" s="46">
        <f>VLOOKUP(C27,Active!C$21:E$973,3,FALSE)</f>
        <v>5891.0248050258097</v>
      </c>
      <c r="F27" s="5" t="s">
        <v>64</v>
      </c>
      <c r="G27" s="15" t="str">
        <f t="shared" si="4"/>
        <v>55852.4754</v>
      </c>
      <c r="H27" s="38">
        <f t="shared" si="5"/>
        <v>5891</v>
      </c>
      <c r="I27" s="47" t="s">
        <v>333</v>
      </c>
      <c r="J27" s="48" t="s">
        <v>334</v>
      </c>
      <c r="K27" s="47" t="s">
        <v>335</v>
      </c>
      <c r="L27" s="47" t="s">
        <v>336</v>
      </c>
      <c r="M27" s="48" t="s">
        <v>241</v>
      </c>
      <c r="N27" s="48" t="s">
        <v>337</v>
      </c>
      <c r="O27" s="49" t="s">
        <v>338</v>
      </c>
      <c r="P27" s="50" t="s">
        <v>339</v>
      </c>
    </row>
    <row r="28" spans="1:16" ht="12.75" customHeight="1" thickBot="1" x14ac:dyDescent="0.25">
      <c r="A28" s="38" t="str">
        <f t="shared" si="0"/>
        <v>IBVS 6046 </v>
      </c>
      <c r="B28" s="5" t="str">
        <f t="shared" si="1"/>
        <v>I</v>
      </c>
      <c r="C28" s="38">
        <f t="shared" si="2"/>
        <v>56042.931600000004</v>
      </c>
      <c r="D28" s="15" t="str">
        <f t="shared" si="3"/>
        <v>vis</v>
      </c>
      <c r="E28" s="46">
        <f>VLOOKUP(C28,Active!C$21:E$973,3,FALSE)</f>
        <v>5946.0259803867784</v>
      </c>
      <c r="F28" s="5" t="s">
        <v>64</v>
      </c>
      <c r="G28" s="15" t="str">
        <f t="shared" si="4"/>
        <v>56042.9316</v>
      </c>
      <c r="H28" s="38">
        <f t="shared" si="5"/>
        <v>5946</v>
      </c>
      <c r="I28" s="47" t="s">
        <v>340</v>
      </c>
      <c r="J28" s="48" t="s">
        <v>341</v>
      </c>
      <c r="K28" s="47" t="s">
        <v>342</v>
      </c>
      <c r="L28" s="47" t="s">
        <v>343</v>
      </c>
      <c r="M28" s="48" t="s">
        <v>241</v>
      </c>
      <c r="N28" s="48" t="s">
        <v>64</v>
      </c>
      <c r="O28" s="49" t="s">
        <v>215</v>
      </c>
      <c r="P28" s="50" t="s">
        <v>344</v>
      </c>
    </row>
    <row r="29" spans="1:16" ht="12.75" customHeight="1" thickBot="1" x14ac:dyDescent="0.25">
      <c r="A29" s="38" t="str">
        <f t="shared" si="0"/>
        <v>IBVS 6046 </v>
      </c>
      <c r="B29" s="5" t="str">
        <f t="shared" si="1"/>
        <v>I</v>
      </c>
      <c r="C29" s="38">
        <f t="shared" si="2"/>
        <v>56049.854399999997</v>
      </c>
      <c r="D29" s="15" t="str">
        <f t="shared" si="3"/>
        <v>vis</v>
      </c>
      <c r="E29" s="46">
        <f>VLOOKUP(C29,Active!C$21:E$973,3,FALSE)</f>
        <v>5948.0251914221162</v>
      </c>
      <c r="F29" s="5" t="s">
        <v>64</v>
      </c>
      <c r="G29" s="15" t="str">
        <f t="shared" si="4"/>
        <v>56049.8544</v>
      </c>
      <c r="H29" s="38">
        <f t="shared" si="5"/>
        <v>5948</v>
      </c>
      <c r="I29" s="47" t="s">
        <v>345</v>
      </c>
      <c r="J29" s="48" t="s">
        <v>346</v>
      </c>
      <c r="K29" s="47" t="s">
        <v>347</v>
      </c>
      <c r="L29" s="47" t="s">
        <v>348</v>
      </c>
      <c r="M29" s="48" t="s">
        <v>241</v>
      </c>
      <c r="N29" s="48" t="s">
        <v>64</v>
      </c>
      <c r="O29" s="49" t="s">
        <v>215</v>
      </c>
      <c r="P29" s="50" t="s">
        <v>344</v>
      </c>
    </row>
    <row r="30" spans="1:16" ht="12.75" customHeight="1" thickBot="1" x14ac:dyDescent="0.25">
      <c r="A30" s="38" t="str">
        <f t="shared" si="0"/>
        <v>IBVS 6029 </v>
      </c>
      <c r="B30" s="5" t="str">
        <f t="shared" si="1"/>
        <v>I</v>
      </c>
      <c r="C30" s="38">
        <f t="shared" si="2"/>
        <v>56049.856399999997</v>
      </c>
      <c r="D30" s="15" t="str">
        <f t="shared" si="3"/>
        <v>vis</v>
      </c>
      <c r="E30" s="46">
        <f>VLOOKUP(C30,Active!C$21:E$973,3,FALSE)</f>
        <v>5948.025768995074</v>
      </c>
      <c r="F30" s="5" t="s">
        <v>64</v>
      </c>
      <c r="G30" s="15" t="str">
        <f t="shared" si="4"/>
        <v>56049.8564</v>
      </c>
      <c r="H30" s="38">
        <f t="shared" si="5"/>
        <v>5948</v>
      </c>
      <c r="I30" s="47" t="s">
        <v>349</v>
      </c>
      <c r="J30" s="48" t="s">
        <v>350</v>
      </c>
      <c r="K30" s="47" t="s">
        <v>347</v>
      </c>
      <c r="L30" s="47" t="s">
        <v>351</v>
      </c>
      <c r="M30" s="48" t="s">
        <v>241</v>
      </c>
      <c r="N30" s="48" t="s">
        <v>64</v>
      </c>
      <c r="O30" s="49" t="s">
        <v>193</v>
      </c>
      <c r="P30" s="50" t="s">
        <v>352</v>
      </c>
    </row>
    <row r="31" spans="1:16" ht="12.75" customHeight="1" thickBot="1" x14ac:dyDescent="0.25">
      <c r="A31" s="38" t="str">
        <f t="shared" si="0"/>
        <v>IBVS 6029 </v>
      </c>
      <c r="B31" s="5" t="str">
        <f t="shared" si="1"/>
        <v>II</v>
      </c>
      <c r="C31" s="38">
        <f t="shared" si="2"/>
        <v>56051.874300000003</v>
      </c>
      <c r="D31" s="15" t="str">
        <f t="shared" si="3"/>
        <v>vis</v>
      </c>
      <c r="E31" s="46">
        <f>VLOOKUP(C31,Active!C$21:E$973,3,FALSE)</f>
        <v>5948.6085112306182</v>
      </c>
      <c r="F31" s="5" t="s">
        <v>64</v>
      </c>
      <c r="G31" s="15" t="str">
        <f t="shared" si="4"/>
        <v>56051.8743</v>
      </c>
      <c r="H31" s="38">
        <f t="shared" si="5"/>
        <v>5948.5</v>
      </c>
      <c r="I31" s="47" t="s">
        <v>353</v>
      </c>
      <c r="J31" s="48" t="s">
        <v>354</v>
      </c>
      <c r="K31" s="47" t="s">
        <v>355</v>
      </c>
      <c r="L31" s="47" t="s">
        <v>356</v>
      </c>
      <c r="M31" s="48" t="s">
        <v>241</v>
      </c>
      <c r="N31" s="48" t="s">
        <v>64</v>
      </c>
      <c r="O31" s="49" t="s">
        <v>193</v>
      </c>
      <c r="P31" s="50" t="s">
        <v>352</v>
      </c>
    </row>
    <row r="32" spans="1:16" ht="12.75" customHeight="1" thickBot="1" x14ac:dyDescent="0.25">
      <c r="A32" s="38" t="str">
        <f t="shared" si="0"/>
        <v>OEJV 0160 </v>
      </c>
      <c r="B32" s="5" t="str">
        <f t="shared" si="1"/>
        <v>I</v>
      </c>
      <c r="C32" s="38">
        <f t="shared" si="2"/>
        <v>56181.440300000002</v>
      </c>
      <c r="D32" s="15" t="str">
        <f t="shared" si="3"/>
        <v>vis</v>
      </c>
      <c r="E32" s="46">
        <f>VLOOKUP(C32,Active!C$21:E$973,3,FALSE)</f>
        <v>5986.0254201410098</v>
      </c>
      <c r="F32" s="5" t="s">
        <v>64</v>
      </c>
      <c r="G32" s="15" t="str">
        <f t="shared" si="4"/>
        <v>56181.4403</v>
      </c>
      <c r="H32" s="38">
        <f t="shared" si="5"/>
        <v>5986</v>
      </c>
      <c r="I32" s="47" t="s">
        <v>357</v>
      </c>
      <c r="J32" s="48" t="s">
        <v>358</v>
      </c>
      <c r="K32" s="47" t="s">
        <v>359</v>
      </c>
      <c r="L32" s="47" t="s">
        <v>360</v>
      </c>
      <c r="M32" s="48" t="s">
        <v>241</v>
      </c>
      <c r="N32" s="48" t="s">
        <v>337</v>
      </c>
      <c r="O32" s="49" t="s">
        <v>361</v>
      </c>
      <c r="P32" s="50" t="s">
        <v>339</v>
      </c>
    </row>
    <row r="33" spans="1:16" ht="12.75" customHeight="1" thickBot="1" x14ac:dyDescent="0.25">
      <c r="A33" s="38" t="str">
        <f t="shared" si="0"/>
        <v>IBVS 6098 </v>
      </c>
      <c r="B33" s="5" t="str">
        <f t="shared" si="1"/>
        <v>II</v>
      </c>
      <c r="C33" s="38">
        <f t="shared" si="2"/>
        <v>56366.981299999999</v>
      </c>
      <c r="D33" s="15" t="str">
        <f t="shared" si="3"/>
        <v>vis</v>
      </c>
      <c r="E33" s="46">
        <f>VLOOKUP(C33,Active!C$21:E$973,3,FALSE)</f>
        <v>6039.6071522014481</v>
      </c>
      <c r="F33" s="5" t="s">
        <v>64</v>
      </c>
      <c r="G33" s="15" t="str">
        <f t="shared" si="4"/>
        <v>56366.9813</v>
      </c>
      <c r="H33" s="38">
        <f t="shared" si="5"/>
        <v>6039.5</v>
      </c>
      <c r="I33" s="47" t="s">
        <v>362</v>
      </c>
      <c r="J33" s="48" t="s">
        <v>363</v>
      </c>
      <c r="K33" s="47" t="s">
        <v>364</v>
      </c>
      <c r="L33" s="47" t="s">
        <v>365</v>
      </c>
      <c r="M33" s="48" t="s">
        <v>241</v>
      </c>
      <c r="N33" s="48" t="s">
        <v>64</v>
      </c>
      <c r="O33" s="49" t="s">
        <v>215</v>
      </c>
      <c r="P33" s="50" t="s">
        <v>366</v>
      </c>
    </row>
    <row r="34" spans="1:16" ht="12.75" customHeight="1" thickBot="1" x14ac:dyDescent="0.25">
      <c r="A34" s="38" t="str">
        <f t="shared" si="0"/>
        <v>IBVS 6093 </v>
      </c>
      <c r="B34" s="5" t="str">
        <f t="shared" si="1"/>
        <v>II</v>
      </c>
      <c r="C34" s="38">
        <f t="shared" si="2"/>
        <v>56453.5311</v>
      </c>
      <c r="D34" s="15" t="str">
        <f t="shared" si="3"/>
        <v>vis</v>
      </c>
      <c r="E34" s="46">
        <f>VLOOKUP(C34,Active!C$21:E$973,3,FALSE)</f>
        <v>6064.6015641830836</v>
      </c>
      <c r="F34" s="5" t="s">
        <v>64</v>
      </c>
      <c r="G34" s="15" t="str">
        <f t="shared" si="4"/>
        <v>56453.5311</v>
      </c>
      <c r="H34" s="38">
        <f t="shared" si="5"/>
        <v>6064.5</v>
      </c>
      <c r="I34" s="47" t="s">
        <v>367</v>
      </c>
      <c r="J34" s="48" t="s">
        <v>368</v>
      </c>
      <c r="K34" s="47" t="s">
        <v>369</v>
      </c>
      <c r="L34" s="47" t="s">
        <v>370</v>
      </c>
      <c r="M34" s="48" t="s">
        <v>241</v>
      </c>
      <c r="N34" s="48" t="s">
        <v>64</v>
      </c>
      <c r="O34" s="49" t="s">
        <v>193</v>
      </c>
      <c r="P34" s="50" t="s">
        <v>371</v>
      </c>
    </row>
    <row r="35" spans="1:16" ht="12.75" customHeight="1" thickBot="1" x14ac:dyDescent="0.25">
      <c r="A35" s="38" t="str">
        <f t="shared" si="0"/>
        <v> AHSB 6.4.316 </v>
      </c>
      <c r="B35" s="5" t="str">
        <f t="shared" si="1"/>
        <v>II</v>
      </c>
      <c r="C35" s="38">
        <f t="shared" si="2"/>
        <v>32761.49</v>
      </c>
      <c r="D35" s="15" t="str">
        <f t="shared" si="3"/>
        <v>vis</v>
      </c>
      <c r="E35" s="46">
        <f>VLOOKUP(C35,Active!C$21:E$973,3,FALSE)</f>
        <v>-777.33956033991296</v>
      </c>
      <c r="F35" s="5" t="s">
        <v>64</v>
      </c>
      <c r="G35" s="15" t="str">
        <f t="shared" si="4"/>
        <v>32761.490</v>
      </c>
      <c r="H35" s="38">
        <f t="shared" si="5"/>
        <v>-777.5</v>
      </c>
      <c r="I35" s="47" t="s">
        <v>67</v>
      </c>
      <c r="J35" s="48" t="s">
        <v>68</v>
      </c>
      <c r="K35" s="47">
        <v>-777.5</v>
      </c>
      <c r="L35" s="47" t="s">
        <v>69</v>
      </c>
      <c r="M35" s="48" t="s">
        <v>70</v>
      </c>
      <c r="N35" s="48"/>
      <c r="O35" s="49" t="s">
        <v>71</v>
      </c>
      <c r="P35" s="49" t="s">
        <v>72</v>
      </c>
    </row>
    <row r="36" spans="1:16" ht="12.75" customHeight="1" thickBot="1" x14ac:dyDescent="0.25">
      <c r="A36" s="38" t="str">
        <f t="shared" si="0"/>
        <v> AA 22.414 </v>
      </c>
      <c r="B36" s="5" t="str">
        <f t="shared" si="1"/>
        <v>II</v>
      </c>
      <c r="C36" s="38">
        <f t="shared" si="2"/>
        <v>32775.42</v>
      </c>
      <c r="D36" s="15" t="str">
        <f t="shared" si="3"/>
        <v>vis</v>
      </c>
      <c r="E36" s="46">
        <f>VLOOKUP(C36,Active!C$21:E$973,3,FALSE)</f>
        <v>-773.31676469042452</v>
      </c>
      <c r="F36" s="5" t="s">
        <v>64</v>
      </c>
      <c r="G36" s="15" t="str">
        <f t="shared" si="4"/>
        <v>32775.420</v>
      </c>
      <c r="H36" s="38">
        <f t="shared" si="5"/>
        <v>-773.5</v>
      </c>
      <c r="I36" s="47" t="s">
        <v>73</v>
      </c>
      <c r="J36" s="48" t="s">
        <v>74</v>
      </c>
      <c r="K36" s="47">
        <v>-773.5</v>
      </c>
      <c r="L36" s="47" t="s">
        <v>75</v>
      </c>
      <c r="M36" s="48" t="s">
        <v>70</v>
      </c>
      <c r="N36" s="48"/>
      <c r="O36" s="49" t="s">
        <v>76</v>
      </c>
      <c r="P36" s="49" t="s">
        <v>77</v>
      </c>
    </row>
    <row r="37" spans="1:16" ht="12.75" customHeight="1" thickBot="1" x14ac:dyDescent="0.25">
      <c r="A37" s="38" t="str">
        <f t="shared" si="0"/>
        <v> AHSB 6.4.316 </v>
      </c>
      <c r="B37" s="5" t="str">
        <f t="shared" si="1"/>
        <v>II</v>
      </c>
      <c r="C37" s="38">
        <f t="shared" si="2"/>
        <v>32827.29</v>
      </c>
      <c r="D37" s="15" t="str">
        <f t="shared" si="3"/>
        <v>vis</v>
      </c>
      <c r="E37" s="46">
        <f>VLOOKUP(C37,Active!C$21:E$973,3,FALSE)</f>
        <v>-758.33741003579212</v>
      </c>
      <c r="F37" s="5" t="s">
        <v>64</v>
      </c>
      <c r="G37" s="15" t="str">
        <f t="shared" si="4"/>
        <v>32827.290</v>
      </c>
      <c r="H37" s="38">
        <f t="shared" si="5"/>
        <v>-758.5</v>
      </c>
      <c r="I37" s="47" t="s">
        <v>78</v>
      </c>
      <c r="J37" s="48" t="s">
        <v>79</v>
      </c>
      <c r="K37" s="47">
        <v>-758.5</v>
      </c>
      <c r="L37" s="47" t="s">
        <v>80</v>
      </c>
      <c r="M37" s="48" t="s">
        <v>70</v>
      </c>
      <c r="N37" s="48"/>
      <c r="O37" s="49" t="s">
        <v>71</v>
      </c>
      <c r="P37" s="49" t="s">
        <v>72</v>
      </c>
    </row>
    <row r="38" spans="1:16" ht="12.75" customHeight="1" thickBot="1" x14ac:dyDescent="0.25">
      <c r="A38" s="38" t="str">
        <f t="shared" si="0"/>
        <v> AA 22.414 </v>
      </c>
      <c r="B38" s="5" t="str">
        <f t="shared" si="1"/>
        <v>I</v>
      </c>
      <c r="C38" s="38">
        <f t="shared" si="2"/>
        <v>33538.32</v>
      </c>
      <c r="D38" s="15" t="str">
        <f t="shared" si="3"/>
        <v>vis</v>
      </c>
      <c r="E38" s="46">
        <f>VLOOKUP(C38,Active!C$21:E$973,3,FALSE)</f>
        <v>-553.00156002455867</v>
      </c>
      <c r="F38" s="5" t="s">
        <v>64</v>
      </c>
      <c r="G38" s="15" t="str">
        <f t="shared" si="4"/>
        <v>33538.320</v>
      </c>
      <c r="H38" s="38">
        <f t="shared" si="5"/>
        <v>-553</v>
      </c>
      <c r="I38" s="47" t="s">
        <v>81</v>
      </c>
      <c r="J38" s="48" t="s">
        <v>82</v>
      </c>
      <c r="K38" s="47">
        <v>-553</v>
      </c>
      <c r="L38" s="47" t="s">
        <v>83</v>
      </c>
      <c r="M38" s="48" t="s">
        <v>70</v>
      </c>
      <c r="N38" s="48"/>
      <c r="O38" s="49" t="s">
        <v>76</v>
      </c>
      <c r="P38" s="49" t="s">
        <v>77</v>
      </c>
    </row>
    <row r="39" spans="1:16" ht="12.75" customHeight="1" thickBot="1" x14ac:dyDescent="0.25">
      <c r="A39" s="38" t="str">
        <f t="shared" si="0"/>
        <v> AHSB 6.4.316 </v>
      </c>
      <c r="B39" s="5" t="str">
        <f t="shared" si="1"/>
        <v>I</v>
      </c>
      <c r="C39" s="38">
        <f t="shared" si="2"/>
        <v>33891.455000000002</v>
      </c>
      <c r="D39" s="15" t="str">
        <f t="shared" si="3"/>
        <v>vis</v>
      </c>
      <c r="E39" s="46">
        <f>VLOOKUP(C39,Active!C$21:E$973,3,FALSE)</f>
        <v>-451.02094683845195</v>
      </c>
      <c r="F39" s="5" t="s">
        <v>64</v>
      </c>
      <c r="G39" s="15" t="str">
        <f t="shared" si="4"/>
        <v>33891.455</v>
      </c>
      <c r="H39" s="38">
        <f t="shared" si="5"/>
        <v>-451</v>
      </c>
      <c r="I39" s="47" t="s">
        <v>84</v>
      </c>
      <c r="J39" s="48" t="s">
        <v>85</v>
      </c>
      <c r="K39" s="47">
        <v>-451</v>
      </c>
      <c r="L39" s="47" t="s">
        <v>86</v>
      </c>
      <c r="M39" s="48" t="s">
        <v>70</v>
      </c>
      <c r="N39" s="48"/>
      <c r="O39" s="49" t="s">
        <v>71</v>
      </c>
      <c r="P39" s="49" t="s">
        <v>72</v>
      </c>
    </row>
    <row r="40" spans="1:16" ht="12.75" customHeight="1" thickBot="1" x14ac:dyDescent="0.25">
      <c r="A40" s="38" t="str">
        <f t="shared" si="0"/>
        <v> AA 22.414 </v>
      </c>
      <c r="B40" s="5" t="str">
        <f t="shared" si="1"/>
        <v>II</v>
      </c>
      <c r="C40" s="38">
        <f t="shared" si="2"/>
        <v>34122.474999999999</v>
      </c>
      <c r="D40" s="15" t="str">
        <f t="shared" si="3"/>
        <v>vis</v>
      </c>
      <c r="E40" s="46">
        <f>VLOOKUP(C40,Active!C$21:E$973,3,FALSE)</f>
        <v>-384.30549450930329</v>
      </c>
      <c r="F40" s="5" t="s">
        <v>64</v>
      </c>
      <c r="G40" s="15" t="str">
        <f t="shared" si="4"/>
        <v>34122.475</v>
      </c>
      <c r="H40" s="38">
        <f t="shared" si="5"/>
        <v>-384.5</v>
      </c>
      <c r="I40" s="47" t="s">
        <v>87</v>
      </c>
      <c r="J40" s="48" t="s">
        <v>88</v>
      </c>
      <c r="K40" s="47">
        <v>-384.5</v>
      </c>
      <c r="L40" s="47" t="s">
        <v>89</v>
      </c>
      <c r="M40" s="48" t="s">
        <v>70</v>
      </c>
      <c r="N40" s="48"/>
      <c r="O40" s="49" t="s">
        <v>76</v>
      </c>
      <c r="P40" s="49" t="s">
        <v>77</v>
      </c>
    </row>
    <row r="41" spans="1:16" ht="12.75" customHeight="1" thickBot="1" x14ac:dyDescent="0.25">
      <c r="A41" s="38" t="str">
        <f t="shared" si="0"/>
        <v> AA 22.414 </v>
      </c>
      <c r="B41" s="5" t="str">
        <f t="shared" si="1"/>
        <v>I</v>
      </c>
      <c r="C41" s="38">
        <f t="shared" si="2"/>
        <v>34601.387000000002</v>
      </c>
      <c r="D41" s="15" t="str">
        <f t="shared" si="3"/>
        <v>vis</v>
      </c>
      <c r="E41" s="46">
        <f>VLOOKUP(C41,Active!C$21:E$973,3,FALSE)</f>
        <v>-246.002184380925</v>
      </c>
      <c r="F41" s="5" t="s">
        <v>64</v>
      </c>
      <c r="G41" s="15" t="str">
        <f t="shared" si="4"/>
        <v>34601.387</v>
      </c>
      <c r="H41" s="38">
        <f t="shared" si="5"/>
        <v>-246</v>
      </c>
      <c r="I41" s="47" t="s">
        <v>90</v>
      </c>
      <c r="J41" s="48" t="s">
        <v>91</v>
      </c>
      <c r="K41" s="47">
        <v>-246</v>
      </c>
      <c r="L41" s="47" t="s">
        <v>92</v>
      </c>
      <c r="M41" s="48" t="s">
        <v>70</v>
      </c>
      <c r="N41" s="48"/>
      <c r="O41" s="49" t="s">
        <v>76</v>
      </c>
      <c r="P41" s="49" t="s">
        <v>77</v>
      </c>
    </row>
    <row r="42" spans="1:16" ht="12.75" customHeight="1" thickBot="1" x14ac:dyDescent="0.25">
      <c r="A42" s="38" t="str">
        <f t="shared" si="0"/>
        <v> AA 22.414 </v>
      </c>
      <c r="B42" s="5" t="str">
        <f t="shared" si="1"/>
        <v>I</v>
      </c>
      <c r="C42" s="38">
        <f t="shared" si="2"/>
        <v>35453.25</v>
      </c>
      <c r="D42" s="15" t="str">
        <f t="shared" si="3"/>
        <v>vis</v>
      </c>
      <c r="E42" s="46">
        <f>VLOOKUP(C42,Active!C$21:E$973,3,FALSE)</f>
        <v>4.3317971816224151E-3</v>
      </c>
      <c r="F42" s="5" t="s">
        <v>64</v>
      </c>
      <c r="G42" s="15" t="str">
        <f t="shared" si="4"/>
        <v>35453.250</v>
      </c>
      <c r="H42" s="38">
        <f t="shared" si="5"/>
        <v>0</v>
      </c>
      <c r="I42" s="47" t="s">
        <v>93</v>
      </c>
      <c r="J42" s="48" t="s">
        <v>94</v>
      </c>
      <c r="K42" s="47">
        <v>0</v>
      </c>
      <c r="L42" s="47" t="s">
        <v>95</v>
      </c>
      <c r="M42" s="48" t="s">
        <v>70</v>
      </c>
      <c r="N42" s="48"/>
      <c r="O42" s="49" t="s">
        <v>76</v>
      </c>
      <c r="P42" s="49" t="s">
        <v>77</v>
      </c>
    </row>
    <row r="43" spans="1:16" ht="12.75" customHeight="1" thickBot="1" x14ac:dyDescent="0.25">
      <c r="A43" s="38" t="str">
        <f t="shared" ref="A43:A74" si="6">P43</f>
        <v> MHAR 10.8 </v>
      </c>
      <c r="B43" s="5" t="str">
        <f t="shared" ref="B43:B74" si="7">IF(H43=INT(H43),"I","II")</f>
        <v>II</v>
      </c>
      <c r="C43" s="38">
        <f t="shared" ref="C43:C74" si="8">1*G43</f>
        <v>35694.525000000001</v>
      </c>
      <c r="D43" s="15" t="str">
        <f t="shared" ref="D43:D74" si="9">VLOOKUP(F43,I$1:J$5,2,FALSE)</f>
        <v>vis</v>
      </c>
      <c r="E43" s="46">
        <f>VLOOKUP(C43,Active!C$21:E$973,3,FALSE)</f>
        <v>69.681289466282408</v>
      </c>
      <c r="F43" s="5" t="s">
        <v>64</v>
      </c>
      <c r="G43" s="15" t="str">
        <f t="shared" ref="G43:G74" si="10">MID(I43,3,LEN(I43)-3)</f>
        <v>35694.525</v>
      </c>
      <c r="H43" s="38">
        <f t="shared" ref="H43:H74" si="11">1*K43</f>
        <v>69.5</v>
      </c>
      <c r="I43" s="47" t="s">
        <v>96</v>
      </c>
      <c r="J43" s="48" t="s">
        <v>97</v>
      </c>
      <c r="K43" s="47">
        <v>69.5</v>
      </c>
      <c r="L43" s="47" t="s">
        <v>98</v>
      </c>
      <c r="M43" s="48" t="s">
        <v>70</v>
      </c>
      <c r="N43" s="48"/>
      <c r="O43" s="49" t="s">
        <v>99</v>
      </c>
      <c r="P43" s="49" t="s">
        <v>100</v>
      </c>
    </row>
    <row r="44" spans="1:16" ht="12.75" customHeight="1" thickBot="1" x14ac:dyDescent="0.25">
      <c r="A44" s="38" t="str">
        <f t="shared" si="6"/>
        <v> MHAR 10.8 </v>
      </c>
      <c r="B44" s="5" t="str">
        <f t="shared" si="7"/>
        <v>II</v>
      </c>
      <c r="C44" s="38">
        <f t="shared" si="8"/>
        <v>36127.321000000004</v>
      </c>
      <c r="D44" s="15" t="str">
        <f t="shared" si="9"/>
        <v>vis</v>
      </c>
      <c r="E44" s="46">
        <f>VLOOKUP(C44,Active!C$21:E$973,3,FALSE)</f>
        <v>194.66692233896342</v>
      </c>
      <c r="F44" s="5" t="s">
        <v>64</v>
      </c>
      <c r="G44" s="15" t="str">
        <f t="shared" si="10"/>
        <v>36127.321</v>
      </c>
      <c r="H44" s="38">
        <f t="shared" si="11"/>
        <v>194.5</v>
      </c>
      <c r="I44" s="47" t="s">
        <v>101</v>
      </c>
      <c r="J44" s="48" t="s">
        <v>102</v>
      </c>
      <c r="K44" s="47">
        <v>194.5</v>
      </c>
      <c r="L44" s="47" t="s">
        <v>103</v>
      </c>
      <c r="M44" s="48" t="s">
        <v>70</v>
      </c>
      <c r="N44" s="48"/>
      <c r="O44" s="49" t="s">
        <v>99</v>
      </c>
      <c r="P44" s="49" t="s">
        <v>100</v>
      </c>
    </row>
    <row r="45" spans="1:16" ht="12.75" customHeight="1" thickBot="1" x14ac:dyDescent="0.25">
      <c r="A45" s="38" t="str">
        <f t="shared" si="6"/>
        <v> MHAR 10.8 </v>
      </c>
      <c r="B45" s="5" t="str">
        <f t="shared" si="7"/>
        <v>II</v>
      </c>
      <c r="C45" s="38">
        <f t="shared" si="8"/>
        <v>36757.523000000001</v>
      </c>
      <c r="D45" s="15" t="str">
        <f t="shared" si="9"/>
        <v>vis</v>
      </c>
      <c r="E45" s="46">
        <f>VLOOKUP(C45,Active!C$21:E$973,3,FALSE)</f>
        <v>376.66073884287897</v>
      </c>
      <c r="F45" s="5" t="s">
        <v>64</v>
      </c>
      <c r="G45" s="15" t="str">
        <f t="shared" si="10"/>
        <v>36757.523</v>
      </c>
      <c r="H45" s="38">
        <f t="shared" si="11"/>
        <v>376.5</v>
      </c>
      <c r="I45" s="47" t="s">
        <v>104</v>
      </c>
      <c r="J45" s="48" t="s">
        <v>105</v>
      </c>
      <c r="K45" s="47">
        <v>376.5</v>
      </c>
      <c r="L45" s="47" t="s">
        <v>106</v>
      </c>
      <c r="M45" s="48" t="s">
        <v>70</v>
      </c>
      <c r="N45" s="48"/>
      <c r="O45" s="49" t="s">
        <v>99</v>
      </c>
      <c r="P45" s="49" t="s">
        <v>100</v>
      </c>
    </row>
    <row r="46" spans="1:16" ht="12.75" customHeight="1" thickBot="1" x14ac:dyDescent="0.25">
      <c r="A46" s="38" t="str">
        <f t="shared" si="6"/>
        <v> AA 22.414 </v>
      </c>
      <c r="B46" s="5" t="str">
        <f t="shared" si="7"/>
        <v>II</v>
      </c>
      <c r="C46" s="38">
        <f t="shared" si="8"/>
        <v>36809.5</v>
      </c>
      <c r="D46" s="15" t="str">
        <f t="shared" si="9"/>
        <v>vis</v>
      </c>
      <c r="E46" s="46">
        <f>VLOOKUP(C46,Active!C$21:E$973,3,FALSE)</f>
        <v>391.67099365074034</v>
      </c>
      <c r="F46" s="5" t="s">
        <v>64</v>
      </c>
      <c r="G46" s="15" t="str">
        <f t="shared" si="10"/>
        <v>36809.500</v>
      </c>
      <c r="H46" s="38">
        <f t="shared" si="11"/>
        <v>391.5</v>
      </c>
      <c r="I46" s="47" t="s">
        <v>107</v>
      </c>
      <c r="J46" s="48" t="s">
        <v>108</v>
      </c>
      <c r="K46" s="47">
        <v>391.5</v>
      </c>
      <c r="L46" s="47" t="s">
        <v>109</v>
      </c>
      <c r="M46" s="48" t="s">
        <v>70</v>
      </c>
      <c r="N46" s="48"/>
      <c r="O46" s="49" t="s">
        <v>76</v>
      </c>
      <c r="P46" s="49" t="s">
        <v>77</v>
      </c>
    </row>
    <row r="47" spans="1:16" ht="12.75" customHeight="1" thickBot="1" x14ac:dyDescent="0.25">
      <c r="A47" s="38" t="str">
        <f t="shared" si="6"/>
        <v> MHAR 10.8 </v>
      </c>
      <c r="B47" s="5" t="str">
        <f t="shared" si="7"/>
        <v>II</v>
      </c>
      <c r="C47" s="38">
        <f t="shared" si="8"/>
        <v>36816.417999999998</v>
      </c>
      <c r="D47" s="15" t="str">
        <f t="shared" si="9"/>
        <v>vis</v>
      </c>
      <c r="E47" s="46">
        <f>VLOOKUP(C47,Active!C$21:E$973,3,FALSE)</f>
        <v>393.66881851098151</v>
      </c>
      <c r="F47" s="5" t="s">
        <v>64</v>
      </c>
      <c r="G47" s="15" t="str">
        <f t="shared" si="10"/>
        <v>36816.418</v>
      </c>
      <c r="H47" s="38">
        <f t="shared" si="11"/>
        <v>393.5</v>
      </c>
      <c r="I47" s="47" t="s">
        <v>110</v>
      </c>
      <c r="J47" s="48" t="s">
        <v>111</v>
      </c>
      <c r="K47" s="47">
        <v>393.5</v>
      </c>
      <c r="L47" s="47" t="s">
        <v>112</v>
      </c>
      <c r="M47" s="48" t="s">
        <v>70</v>
      </c>
      <c r="N47" s="48"/>
      <c r="O47" s="49" t="s">
        <v>99</v>
      </c>
      <c r="P47" s="49" t="s">
        <v>100</v>
      </c>
    </row>
    <row r="48" spans="1:16" ht="12.75" customHeight="1" thickBot="1" x14ac:dyDescent="0.25">
      <c r="A48" s="38" t="str">
        <f t="shared" si="6"/>
        <v> AA 22.414 </v>
      </c>
      <c r="B48" s="5" t="str">
        <f t="shared" si="7"/>
        <v>II</v>
      </c>
      <c r="C48" s="38">
        <f t="shared" si="8"/>
        <v>36816.425999999999</v>
      </c>
      <c r="D48" s="15" t="str">
        <f t="shared" si="9"/>
        <v>vis</v>
      </c>
      <c r="E48" s="46">
        <f>VLOOKUP(C48,Active!C$21:E$973,3,FALSE)</f>
        <v>393.67112880281223</v>
      </c>
      <c r="F48" s="5" t="s">
        <v>64</v>
      </c>
      <c r="G48" s="15" t="str">
        <f t="shared" si="10"/>
        <v>36816.426</v>
      </c>
      <c r="H48" s="38">
        <f t="shared" si="11"/>
        <v>393.5</v>
      </c>
      <c r="I48" s="47" t="s">
        <v>113</v>
      </c>
      <c r="J48" s="48" t="s">
        <v>114</v>
      </c>
      <c r="K48" s="47">
        <v>393.5</v>
      </c>
      <c r="L48" s="47" t="s">
        <v>115</v>
      </c>
      <c r="M48" s="48" t="s">
        <v>70</v>
      </c>
      <c r="N48" s="48"/>
      <c r="O48" s="49" t="s">
        <v>76</v>
      </c>
      <c r="P48" s="49" t="s">
        <v>77</v>
      </c>
    </row>
    <row r="49" spans="1:16" ht="12.75" customHeight="1" thickBot="1" x14ac:dyDescent="0.25">
      <c r="A49" s="38" t="str">
        <f t="shared" si="6"/>
        <v> MHAR 10.8 </v>
      </c>
      <c r="B49" s="5" t="str">
        <f t="shared" si="7"/>
        <v>II</v>
      </c>
      <c r="C49" s="38">
        <f t="shared" si="8"/>
        <v>36816.430999999997</v>
      </c>
      <c r="D49" s="15" t="str">
        <f t="shared" si="9"/>
        <v>vis</v>
      </c>
      <c r="E49" s="46">
        <f>VLOOKUP(C49,Active!C$21:E$973,3,FALSE)</f>
        <v>393.67257273520545</v>
      </c>
      <c r="F49" s="5" t="s">
        <v>64</v>
      </c>
      <c r="G49" s="15" t="str">
        <f t="shared" si="10"/>
        <v>36816.431</v>
      </c>
      <c r="H49" s="38">
        <f t="shared" si="11"/>
        <v>393.5</v>
      </c>
      <c r="I49" s="47" t="s">
        <v>116</v>
      </c>
      <c r="J49" s="48" t="s">
        <v>117</v>
      </c>
      <c r="K49" s="47">
        <v>393.5</v>
      </c>
      <c r="L49" s="47" t="s">
        <v>118</v>
      </c>
      <c r="M49" s="48" t="s">
        <v>70</v>
      </c>
      <c r="N49" s="48"/>
      <c r="O49" s="49" t="s">
        <v>99</v>
      </c>
      <c r="P49" s="49" t="s">
        <v>100</v>
      </c>
    </row>
    <row r="50" spans="1:16" ht="12.75" customHeight="1" thickBot="1" x14ac:dyDescent="0.25">
      <c r="A50" s="38" t="str">
        <f t="shared" si="6"/>
        <v> AHSB 6.4.316 </v>
      </c>
      <c r="B50" s="5" t="str">
        <f t="shared" si="7"/>
        <v>II</v>
      </c>
      <c r="C50" s="38">
        <f t="shared" si="8"/>
        <v>36816.44</v>
      </c>
      <c r="D50" s="15" t="str">
        <f t="shared" si="9"/>
        <v>vis</v>
      </c>
      <c r="E50" s="46">
        <f>VLOOKUP(C50,Active!C$21:E$973,3,FALSE)</f>
        <v>393.6751718135161</v>
      </c>
      <c r="F50" s="5" t="s">
        <v>64</v>
      </c>
      <c r="G50" s="15" t="str">
        <f t="shared" si="10"/>
        <v>36816.440</v>
      </c>
      <c r="H50" s="38">
        <f t="shared" si="11"/>
        <v>393.5</v>
      </c>
      <c r="I50" s="47" t="s">
        <v>119</v>
      </c>
      <c r="J50" s="48" t="s">
        <v>120</v>
      </c>
      <c r="K50" s="47">
        <v>393.5</v>
      </c>
      <c r="L50" s="47" t="s">
        <v>121</v>
      </c>
      <c r="M50" s="48" t="s">
        <v>70</v>
      </c>
      <c r="N50" s="48"/>
      <c r="O50" s="49" t="s">
        <v>71</v>
      </c>
      <c r="P50" s="49" t="s">
        <v>72</v>
      </c>
    </row>
    <row r="51" spans="1:16" ht="12.75" customHeight="1" thickBot="1" x14ac:dyDescent="0.25">
      <c r="A51" s="38" t="str">
        <f t="shared" si="6"/>
        <v> MHAR 10.8 </v>
      </c>
      <c r="B51" s="5" t="str">
        <f t="shared" si="7"/>
        <v>I</v>
      </c>
      <c r="C51" s="38">
        <f t="shared" si="8"/>
        <v>36817.546000000002</v>
      </c>
      <c r="D51" s="15" t="str">
        <f t="shared" si="9"/>
        <v>vis</v>
      </c>
      <c r="E51" s="46">
        <f>VLOOKUP(C51,Active!C$21:E$973,3,FALSE)</f>
        <v>393.99456965905335</v>
      </c>
      <c r="F51" s="5" t="s">
        <v>64</v>
      </c>
      <c r="G51" s="15" t="str">
        <f t="shared" si="10"/>
        <v>36817.546</v>
      </c>
      <c r="H51" s="38">
        <f t="shared" si="11"/>
        <v>394</v>
      </c>
      <c r="I51" s="47" t="s">
        <v>122</v>
      </c>
      <c r="J51" s="48" t="s">
        <v>123</v>
      </c>
      <c r="K51" s="47">
        <v>394</v>
      </c>
      <c r="L51" s="47" t="s">
        <v>124</v>
      </c>
      <c r="M51" s="48" t="s">
        <v>70</v>
      </c>
      <c r="N51" s="48"/>
      <c r="O51" s="49" t="s">
        <v>99</v>
      </c>
      <c r="P51" s="49" t="s">
        <v>100</v>
      </c>
    </row>
    <row r="52" spans="1:16" ht="12.75" customHeight="1" thickBot="1" x14ac:dyDescent="0.25">
      <c r="A52" s="38" t="str">
        <f t="shared" si="6"/>
        <v> MHAR 10.8 </v>
      </c>
      <c r="B52" s="5" t="str">
        <f t="shared" si="7"/>
        <v>II</v>
      </c>
      <c r="C52" s="38">
        <f t="shared" si="8"/>
        <v>36868.381000000001</v>
      </c>
      <c r="D52" s="15" t="str">
        <f t="shared" si="9"/>
        <v>vis</v>
      </c>
      <c r="E52" s="46">
        <f>VLOOKUP(C52,Active!C$21:E$973,3,FALSE)</f>
        <v>408.67503030814117</v>
      </c>
      <c r="F52" s="5" t="s">
        <v>64</v>
      </c>
      <c r="G52" s="15" t="str">
        <f t="shared" si="10"/>
        <v>36868.381</v>
      </c>
      <c r="H52" s="38">
        <f t="shared" si="11"/>
        <v>408.5</v>
      </c>
      <c r="I52" s="47" t="s">
        <v>125</v>
      </c>
      <c r="J52" s="48" t="s">
        <v>126</v>
      </c>
      <c r="K52" s="47">
        <v>408.5</v>
      </c>
      <c r="L52" s="47" t="s">
        <v>127</v>
      </c>
      <c r="M52" s="48" t="s">
        <v>70</v>
      </c>
      <c r="N52" s="48"/>
      <c r="O52" s="49" t="s">
        <v>99</v>
      </c>
      <c r="P52" s="49" t="s">
        <v>100</v>
      </c>
    </row>
    <row r="53" spans="1:16" ht="12.75" customHeight="1" thickBot="1" x14ac:dyDescent="0.25">
      <c r="A53" s="38" t="str">
        <f t="shared" si="6"/>
        <v> MHAR 10.8 </v>
      </c>
      <c r="B53" s="5" t="str">
        <f t="shared" si="7"/>
        <v>II</v>
      </c>
      <c r="C53" s="38">
        <f t="shared" si="8"/>
        <v>36875.273000000001</v>
      </c>
      <c r="D53" s="15" t="str">
        <f t="shared" si="9"/>
        <v>vis</v>
      </c>
      <c r="E53" s="46">
        <f>VLOOKUP(C53,Active!C$21:E$973,3,FALSE)</f>
        <v>410.66534671993446</v>
      </c>
      <c r="F53" s="5" t="s">
        <v>64</v>
      </c>
      <c r="G53" s="15" t="str">
        <f t="shared" si="10"/>
        <v>36875.273</v>
      </c>
      <c r="H53" s="38">
        <f t="shared" si="11"/>
        <v>410.5</v>
      </c>
      <c r="I53" s="47" t="s">
        <v>128</v>
      </c>
      <c r="J53" s="48" t="s">
        <v>129</v>
      </c>
      <c r="K53" s="47">
        <v>410.5</v>
      </c>
      <c r="L53" s="47" t="s">
        <v>130</v>
      </c>
      <c r="M53" s="48" t="s">
        <v>70</v>
      </c>
      <c r="N53" s="48"/>
      <c r="O53" s="49" t="s">
        <v>99</v>
      </c>
      <c r="P53" s="49" t="s">
        <v>100</v>
      </c>
    </row>
    <row r="54" spans="1:16" ht="12.75" customHeight="1" thickBot="1" x14ac:dyDescent="0.25">
      <c r="A54" s="38" t="str">
        <f t="shared" si="6"/>
        <v> MHAR 10.8 </v>
      </c>
      <c r="B54" s="5" t="str">
        <f t="shared" si="7"/>
        <v>I</v>
      </c>
      <c r="C54" s="38">
        <f t="shared" si="8"/>
        <v>37146.527000000002</v>
      </c>
      <c r="D54" s="15" t="str">
        <f t="shared" si="9"/>
        <v>vis</v>
      </c>
      <c r="E54" s="46">
        <f>VLOOKUP(C54,Active!C$21:E$973,3,FALSE)</f>
        <v>488.99983423656158</v>
      </c>
      <c r="F54" s="5" t="s">
        <v>64</v>
      </c>
      <c r="G54" s="15" t="str">
        <f t="shared" si="10"/>
        <v>37146.527</v>
      </c>
      <c r="H54" s="38">
        <f t="shared" si="11"/>
        <v>489</v>
      </c>
      <c r="I54" s="47" t="s">
        <v>131</v>
      </c>
      <c r="J54" s="48" t="s">
        <v>132</v>
      </c>
      <c r="K54" s="47">
        <v>489</v>
      </c>
      <c r="L54" s="47" t="s">
        <v>133</v>
      </c>
      <c r="M54" s="48" t="s">
        <v>70</v>
      </c>
      <c r="N54" s="48"/>
      <c r="O54" s="49" t="s">
        <v>99</v>
      </c>
      <c r="P54" s="49" t="s">
        <v>100</v>
      </c>
    </row>
    <row r="55" spans="1:16" ht="12.75" customHeight="1" thickBot="1" x14ac:dyDescent="0.25">
      <c r="A55" s="38" t="str">
        <f t="shared" si="6"/>
        <v> AA 22.414 </v>
      </c>
      <c r="B55" s="5" t="str">
        <f t="shared" si="7"/>
        <v>I</v>
      </c>
      <c r="C55" s="38">
        <f t="shared" si="8"/>
        <v>37160.385000000002</v>
      </c>
      <c r="D55" s="15" t="str">
        <f t="shared" si="9"/>
        <v>vis</v>
      </c>
      <c r="E55" s="46">
        <f>VLOOKUP(C55,Active!C$21:E$973,3,FALSE)</f>
        <v>493.00183725957851</v>
      </c>
      <c r="F55" s="5" t="s">
        <v>64</v>
      </c>
      <c r="G55" s="15" t="str">
        <f t="shared" si="10"/>
        <v>37160.385</v>
      </c>
      <c r="H55" s="38">
        <f t="shared" si="11"/>
        <v>493</v>
      </c>
      <c r="I55" s="47" t="s">
        <v>134</v>
      </c>
      <c r="J55" s="48" t="s">
        <v>135</v>
      </c>
      <c r="K55" s="47">
        <v>493</v>
      </c>
      <c r="L55" s="47" t="s">
        <v>136</v>
      </c>
      <c r="M55" s="48" t="s">
        <v>70</v>
      </c>
      <c r="N55" s="48"/>
      <c r="O55" s="49" t="s">
        <v>76</v>
      </c>
      <c r="P55" s="49" t="s">
        <v>77</v>
      </c>
    </row>
    <row r="56" spans="1:16" ht="12.75" customHeight="1" thickBot="1" x14ac:dyDescent="0.25">
      <c r="A56" s="38" t="str">
        <f t="shared" si="6"/>
        <v> MHAR 10.8 </v>
      </c>
      <c r="B56" s="5" t="str">
        <f t="shared" si="7"/>
        <v>II</v>
      </c>
      <c r="C56" s="38">
        <f t="shared" si="8"/>
        <v>37190.370000000003</v>
      </c>
      <c r="D56" s="15" t="str">
        <f t="shared" si="9"/>
        <v>vis</v>
      </c>
      <c r="E56" s="46">
        <f>VLOOKUP(C56,Active!C$21:E$973,3,FALSE)</f>
        <v>501.66109982597789</v>
      </c>
      <c r="F56" s="5" t="s">
        <v>64</v>
      </c>
      <c r="G56" s="15" t="str">
        <f t="shared" si="10"/>
        <v>37190.370</v>
      </c>
      <c r="H56" s="38">
        <f t="shared" si="11"/>
        <v>501.5</v>
      </c>
      <c r="I56" s="47" t="s">
        <v>137</v>
      </c>
      <c r="J56" s="48" t="s">
        <v>138</v>
      </c>
      <c r="K56" s="47">
        <v>501.5</v>
      </c>
      <c r="L56" s="47" t="s">
        <v>139</v>
      </c>
      <c r="M56" s="48" t="s">
        <v>70</v>
      </c>
      <c r="N56" s="48"/>
      <c r="O56" s="49" t="s">
        <v>99</v>
      </c>
      <c r="P56" s="49" t="s">
        <v>100</v>
      </c>
    </row>
    <row r="57" spans="1:16" ht="12.75" customHeight="1" thickBot="1" x14ac:dyDescent="0.25">
      <c r="A57" s="38" t="str">
        <f t="shared" si="6"/>
        <v> MHAR 10.8 </v>
      </c>
      <c r="B57" s="5" t="str">
        <f t="shared" si="7"/>
        <v>II</v>
      </c>
      <c r="C57" s="38">
        <f t="shared" si="8"/>
        <v>37249.298999999999</v>
      </c>
      <c r="D57" s="15" t="str">
        <f t="shared" si="9"/>
        <v>vis</v>
      </c>
      <c r="E57" s="46">
        <f>VLOOKUP(C57,Active!C$21:E$973,3,FALSE)</f>
        <v>518.67899823435903</v>
      </c>
      <c r="F57" s="5" t="s">
        <v>64</v>
      </c>
      <c r="G57" s="15" t="str">
        <f t="shared" si="10"/>
        <v>37249.299</v>
      </c>
      <c r="H57" s="38">
        <f t="shared" si="11"/>
        <v>518.5</v>
      </c>
      <c r="I57" s="47" t="s">
        <v>140</v>
      </c>
      <c r="J57" s="48" t="s">
        <v>141</v>
      </c>
      <c r="K57" s="47">
        <v>518.5</v>
      </c>
      <c r="L57" s="47" t="s">
        <v>142</v>
      </c>
      <c r="M57" s="48" t="s">
        <v>70</v>
      </c>
      <c r="N57" s="48"/>
      <c r="O57" s="49" t="s">
        <v>99</v>
      </c>
      <c r="P57" s="49" t="s">
        <v>100</v>
      </c>
    </row>
    <row r="58" spans="1:16" ht="12.75" customHeight="1" thickBot="1" x14ac:dyDescent="0.25">
      <c r="A58" s="38" t="str">
        <f t="shared" si="6"/>
        <v> MHAR 10.8 </v>
      </c>
      <c r="B58" s="5" t="str">
        <f t="shared" si="7"/>
        <v>I</v>
      </c>
      <c r="C58" s="38">
        <f t="shared" si="8"/>
        <v>37579.377</v>
      </c>
      <c r="D58" s="15" t="str">
        <f t="shared" si="9"/>
        <v>vis</v>
      </c>
      <c r="E58" s="46">
        <f>VLOOKUP(C58,Active!C$21:E$973,3,FALSE)</f>
        <v>614.00106157909602</v>
      </c>
      <c r="F58" s="5" t="s">
        <v>64</v>
      </c>
      <c r="G58" s="15" t="str">
        <f t="shared" si="10"/>
        <v>37579.377</v>
      </c>
      <c r="H58" s="38">
        <f t="shared" si="11"/>
        <v>614</v>
      </c>
      <c r="I58" s="47" t="s">
        <v>143</v>
      </c>
      <c r="J58" s="48" t="s">
        <v>144</v>
      </c>
      <c r="K58" s="47">
        <v>614</v>
      </c>
      <c r="L58" s="47" t="s">
        <v>145</v>
      </c>
      <c r="M58" s="48" t="s">
        <v>70</v>
      </c>
      <c r="N58" s="48"/>
      <c r="O58" s="49" t="s">
        <v>99</v>
      </c>
      <c r="P58" s="49" t="s">
        <v>100</v>
      </c>
    </row>
    <row r="59" spans="1:16" ht="12.75" customHeight="1" thickBot="1" x14ac:dyDescent="0.25">
      <c r="A59" s="38" t="str">
        <f t="shared" si="6"/>
        <v> MHAR 10.8 </v>
      </c>
      <c r="B59" s="5" t="str">
        <f t="shared" si="7"/>
        <v>I</v>
      </c>
      <c r="C59" s="38">
        <f t="shared" si="8"/>
        <v>37579.379000000001</v>
      </c>
      <c r="D59" s="15" t="str">
        <f t="shared" si="9"/>
        <v>vis</v>
      </c>
      <c r="E59" s="46">
        <f>VLOOKUP(C59,Active!C$21:E$973,3,FALSE)</f>
        <v>614.00163915205371</v>
      </c>
      <c r="F59" s="5" t="s">
        <v>64</v>
      </c>
      <c r="G59" s="15" t="str">
        <f t="shared" si="10"/>
        <v>37579.379</v>
      </c>
      <c r="H59" s="38">
        <f t="shared" si="11"/>
        <v>614</v>
      </c>
      <c r="I59" s="47" t="s">
        <v>146</v>
      </c>
      <c r="J59" s="48" t="s">
        <v>147</v>
      </c>
      <c r="K59" s="47">
        <v>614</v>
      </c>
      <c r="L59" s="47" t="s">
        <v>136</v>
      </c>
      <c r="M59" s="48" t="s">
        <v>70</v>
      </c>
      <c r="N59" s="48"/>
      <c r="O59" s="49" t="s">
        <v>99</v>
      </c>
      <c r="P59" s="49" t="s">
        <v>100</v>
      </c>
    </row>
    <row r="60" spans="1:16" ht="12.75" customHeight="1" thickBot="1" x14ac:dyDescent="0.25">
      <c r="A60" s="38" t="str">
        <f t="shared" si="6"/>
        <v> MHAR 10.8 </v>
      </c>
      <c r="B60" s="5" t="str">
        <f t="shared" si="7"/>
        <v>II</v>
      </c>
      <c r="C60" s="38">
        <f t="shared" si="8"/>
        <v>37886.442999999999</v>
      </c>
      <c r="D60" s="15" t="str">
        <f t="shared" si="9"/>
        <v>vis</v>
      </c>
      <c r="E60" s="46">
        <f>VLOOKUP(C60,Active!C$21:E$973,3,FALSE)</f>
        <v>702.67757047400801</v>
      </c>
      <c r="F60" s="5" t="s">
        <v>64</v>
      </c>
      <c r="G60" s="15" t="str">
        <f t="shared" si="10"/>
        <v>37886.443</v>
      </c>
      <c r="H60" s="38">
        <f t="shared" si="11"/>
        <v>702.5</v>
      </c>
      <c r="I60" s="47" t="s">
        <v>148</v>
      </c>
      <c r="J60" s="48" t="s">
        <v>149</v>
      </c>
      <c r="K60" s="47">
        <v>702.5</v>
      </c>
      <c r="L60" s="47" t="s">
        <v>150</v>
      </c>
      <c r="M60" s="48" t="s">
        <v>70</v>
      </c>
      <c r="N60" s="48"/>
      <c r="O60" s="49" t="s">
        <v>99</v>
      </c>
      <c r="P60" s="49" t="s">
        <v>100</v>
      </c>
    </row>
    <row r="61" spans="1:16" ht="12.75" customHeight="1" thickBot="1" x14ac:dyDescent="0.25">
      <c r="A61" s="38" t="str">
        <f t="shared" si="6"/>
        <v> AA 22.414 </v>
      </c>
      <c r="B61" s="5" t="str">
        <f t="shared" si="7"/>
        <v>I</v>
      </c>
      <c r="C61" s="38">
        <f t="shared" si="8"/>
        <v>37908.334999999999</v>
      </c>
      <c r="D61" s="15" t="str">
        <f t="shared" si="9"/>
        <v>vis</v>
      </c>
      <c r="E61" s="46">
        <f>VLOOKUP(C61,Active!C$21:E$973,3,FALSE)</f>
        <v>708.99968406759183</v>
      </c>
      <c r="F61" s="5" t="s">
        <v>64</v>
      </c>
      <c r="G61" s="15" t="str">
        <f t="shared" si="10"/>
        <v>37908.335</v>
      </c>
      <c r="H61" s="38">
        <f t="shared" si="11"/>
        <v>709</v>
      </c>
      <c r="I61" s="47" t="s">
        <v>151</v>
      </c>
      <c r="J61" s="48" t="s">
        <v>152</v>
      </c>
      <c r="K61" s="47">
        <v>709</v>
      </c>
      <c r="L61" s="47" t="s">
        <v>133</v>
      </c>
      <c r="M61" s="48" t="s">
        <v>70</v>
      </c>
      <c r="N61" s="48"/>
      <c r="O61" s="49" t="s">
        <v>76</v>
      </c>
      <c r="P61" s="49" t="s">
        <v>77</v>
      </c>
    </row>
    <row r="62" spans="1:16" ht="12.75" customHeight="1" thickBot="1" x14ac:dyDescent="0.25">
      <c r="A62" s="38" t="str">
        <f t="shared" si="6"/>
        <v> MHAR 10.8 </v>
      </c>
      <c r="B62" s="5" t="str">
        <f t="shared" si="7"/>
        <v>I</v>
      </c>
      <c r="C62" s="38">
        <f t="shared" si="8"/>
        <v>37960.294000000002</v>
      </c>
      <c r="D62" s="15" t="str">
        <f t="shared" si="9"/>
        <v>vis</v>
      </c>
      <c r="E62" s="46">
        <f>VLOOKUP(C62,Active!C$21:E$973,3,FALSE)</f>
        <v>724.00474071883616</v>
      </c>
      <c r="F62" s="5" t="s">
        <v>64</v>
      </c>
      <c r="G62" s="15" t="str">
        <f t="shared" si="10"/>
        <v>37960.294</v>
      </c>
      <c r="H62" s="38">
        <f t="shared" si="11"/>
        <v>724</v>
      </c>
      <c r="I62" s="47" t="s">
        <v>153</v>
      </c>
      <c r="J62" s="48" t="s">
        <v>154</v>
      </c>
      <c r="K62" s="47">
        <v>724</v>
      </c>
      <c r="L62" s="47" t="s">
        <v>155</v>
      </c>
      <c r="M62" s="48" t="s">
        <v>70</v>
      </c>
      <c r="N62" s="48"/>
      <c r="O62" s="49" t="s">
        <v>99</v>
      </c>
      <c r="P62" s="49" t="s">
        <v>100</v>
      </c>
    </row>
    <row r="63" spans="1:16" ht="12.75" customHeight="1" thickBot="1" x14ac:dyDescent="0.25">
      <c r="A63" s="38" t="str">
        <f t="shared" si="6"/>
        <v> MHAR 10.8 </v>
      </c>
      <c r="B63" s="5" t="str">
        <f t="shared" si="7"/>
        <v>I</v>
      </c>
      <c r="C63" s="38">
        <f t="shared" si="8"/>
        <v>38268.453999999998</v>
      </c>
      <c r="D63" s="15" t="str">
        <f t="shared" si="9"/>
        <v>vis</v>
      </c>
      <c r="E63" s="46">
        <f>VLOOKUP(C63,Active!C$21:E$973,3,FALSE)</f>
        <v>812.99718202153929</v>
      </c>
      <c r="F63" s="5" t="s">
        <v>64</v>
      </c>
      <c r="G63" s="15" t="str">
        <f t="shared" si="10"/>
        <v>38268.454</v>
      </c>
      <c r="H63" s="38">
        <f t="shared" si="11"/>
        <v>813</v>
      </c>
      <c r="I63" s="47" t="s">
        <v>156</v>
      </c>
      <c r="J63" s="48" t="s">
        <v>157</v>
      </c>
      <c r="K63" s="47">
        <v>813</v>
      </c>
      <c r="L63" s="47" t="s">
        <v>158</v>
      </c>
      <c r="M63" s="48" t="s">
        <v>70</v>
      </c>
      <c r="N63" s="48"/>
      <c r="O63" s="49" t="s">
        <v>99</v>
      </c>
      <c r="P63" s="49" t="s">
        <v>100</v>
      </c>
    </row>
    <row r="64" spans="1:16" ht="12.75" customHeight="1" thickBot="1" x14ac:dyDescent="0.25">
      <c r="A64" s="38" t="str">
        <f t="shared" si="6"/>
        <v> MHAR 10.8 </v>
      </c>
      <c r="B64" s="5" t="str">
        <f t="shared" si="7"/>
        <v>I</v>
      </c>
      <c r="C64" s="38">
        <f t="shared" si="8"/>
        <v>38642.417999999998</v>
      </c>
      <c r="D64" s="15" t="str">
        <f t="shared" si="9"/>
        <v>vis</v>
      </c>
      <c r="E64" s="46">
        <f>VLOOKUP(C64,Active!C$21:E$973,3,FALSE)</f>
        <v>920.99292877427968</v>
      </c>
      <c r="F64" s="5" t="s">
        <v>64</v>
      </c>
      <c r="G64" s="15" t="str">
        <f t="shared" si="10"/>
        <v>38642.418</v>
      </c>
      <c r="H64" s="38">
        <f t="shared" si="11"/>
        <v>921</v>
      </c>
      <c r="I64" s="47" t="s">
        <v>159</v>
      </c>
      <c r="J64" s="48" t="s">
        <v>160</v>
      </c>
      <c r="K64" s="47">
        <v>921</v>
      </c>
      <c r="L64" s="47" t="s">
        <v>161</v>
      </c>
      <c r="M64" s="48" t="s">
        <v>70</v>
      </c>
      <c r="N64" s="48"/>
      <c r="O64" s="49" t="s">
        <v>99</v>
      </c>
      <c r="P64" s="49" t="s">
        <v>100</v>
      </c>
    </row>
    <row r="65" spans="1:16" ht="12.75" customHeight="1" thickBot="1" x14ac:dyDescent="0.25">
      <c r="A65" s="38" t="str">
        <f t="shared" si="6"/>
        <v> MHAR 10.8 </v>
      </c>
      <c r="B65" s="5" t="str">
        <f t="shared" si="7"/>
        <v>I</v>
      </c>
      <c r="C65" s="38">
        <f t="shared" si="8"/>
        <v>38642.428</v>
      </c>
      <c r="D65" s="15" t="str">
        <f t="shared" si="9"/>
        <v>vis</v>
      </c>
      <c r="E65" s="46">
        <f>VLOOKUP(C65,Active!C$21:E$973,3,FALSE)</f>
        <v>920.99581663906815</v>
      </c>
      <c r="F65" s="5" t="s">
        <v>64</v>
      </c>
      <c r="G65" s="15" t="str">
        <f t="shared" si="10"/>
        <v>38642.428</v>
      </c>
      <c r="H65" s="38">
        <f t="shared" si="11"/>
        <v>921</v>
      </c>
      <c r="I65" s="47" t="s">
        <v>162</v>
      </c>
      <c r="J65" s="48" t="s">
        <v>163</v>
      </c>
      <c r="K65" s="47">
        <v>921</v>
      </c>
      <c r="L65" s="47" t="s">
        <v>164</v>
      </c>
      <c r="M65" s="48" t="s">
        <v>70</v>
      </c>
      <c r="N65" s="48"/>
      <c r="O65" s="49" t="s">
        <v>99</v>
      </c>
      <c r="P65" s="49" t="s">
        <v>100</v>
      </c>
    </row>
    <row r="66" spans="1:16" ht="12.75" customHeight="1" thickBot="1" x14ac:dyDescent="0.25">
      <c r="A66" s="38" t="str">
        <f t="shared" si="6"/>
        <v> MHAR 10.8 </v>
      </c>
      <c r="B66" s="5" t="str">
        <f t="shared" si="7"/>
        <v>II</v>
      </c>
      <c r="C66" s="38">
        <f t="shared" si="8"/>
        <v>38831.660000000003</v>
      </c>
      <c r="D66" s="15" t="str">
        <f t="shared" si="9"/>
        <v>vis</v>
      </c>
      <c r="E66" s="46">
        <f>VLOOKUP(C66,Active!C$21:E$973,3,FALSE)</f>
        <v>975.64345959270804</v>
      </c>
      <c r="F66" s="5" t="s">
        <v>64</v>
      </c>
      <c r="G66" s="15" t="str">
        <f t="shared" si="10"/>
        <v>38831.660</v>
      </c>
      <c r="H66" s="38">
        <f t="shared" si="11"/>
        <v>975.5</v>
      </c>
      <c r="I66" s="47" t="s">
        <v>165</v>
      </c>
      <c r="J66" s="48" t="s">
        <v>166</v>
      </c>
      <c r="K66" s="47">
        <v>975.5</v>
      </c>
      <c r="L66" s="47" t="s">
        <v>167</v>
      </c>
      <c r="M66" s="48" t="s">
        <v>70</v>
      </c>
      <c r="N66" s="48"/>
      <c r="O66" s="49" t="s">
        <v>99</v>
      </c>
      <c r="P66" s="49" t="s">
        <v>100</v>
      </c>
    </row>
    <row r="67" spans="1:16" ht="12.75" customHeight="1" thickBot="1" x14ac:dyDescent="0.25">
      <c r="A67" s="38" t="str">
        <f t="shared" si="6"/>
        <v> MHAR 10.8 </v>
      </c>
      <c r="B67" s="5" t="str">
        <f t="shared" si="7"/>
        <v>I</v>
      </c>
      <c r="C67" s="38">
        <f t="shared" si="8"/>
        <v>39286.499000000003</v>
      </c>
      <c r="D67" s="15" t="str">
        <f t="shared" si="9"/>
        <v>vis</v>
      </c>
      <c r="E67" s="46">
        <f>VLOOKUP(C67,Active!C$21:E$973,3,FALSE)</f>
        <v>1106.9948128172689</v>
      </c>
      <c r="F67" s="5" t="s">
        <v>64</v>
      </c>
      <c r="G67" s="15" t="str">
        <f t="shared" si="10"/>
        <v>39286.499</v>
      </c>
      <c r="H67" s="38">
        <f t="shared" si="11"/>
        <v>1107</v>
      </c>
      <c r="I67" s="47" t="s">
        <v>168</v>
      </c>
      <c r="J67" s="48" t="s">
        <v>169</v>
      </c>
      <c r="K67" s="47">
        <v>1107</v>
      </c>
      <c r="L67" s="47" t="s">
        <v>170</v>
      </c>
      <c r="M67" s="48" t="s">
        <v>70</v>
      </c>
      <c r="N67" s="48"/>
      <c r="O67" s="49" t="s">
        <v>99</v>
      </c>
      <c r="P67" s="49" t="s">
        <v>100</v>
      </c>
    </row>
    <row r="68" spans="1:16" ht="12.75" customHeight="1" thickBot="1" x14ac:dyDescent="0.25">
      <c r="A68" s="38" t="str">
        <f t="shared" si="6"/>
        <v> MHAR 10.8 </v>
      </c>
      <c r="B68" s="5" t="str">
        <f t="shared" si="7"/>
        <v>II</v>
      </c>
      <c r="C68" s="38">
        <f t="shared" si="8"/>
        <v>39382.357000000004</v>
      </c>
      <c r="D68" s="15" t="str">
        <f t="shared" si="9"/>
        <v>vis</v>
      </c>
      <c r="E68" s="46">
        <f>VLOOKUP(C68,Active!C$21:E$973,3,FALSE)</f>
        <v>1134.6773071007406</v>
      </c>
      <c r="F68" s="5" t="s">
        <v>64</v>
      </c>
      <c r="G68" s="15" t="str">
        <f t="shared" si="10"/>
        <v>39382.357</v>
      </c>
      <c r="H68" s="38">
        <f t="shared" si="11"/>
        <v>1134.5</v>
      </c>
      <c r="I68" s="47" t="s">
        <v>171</v>
      </c>
      <c r="J68" s="48" t="s">
        <v>172</v>
      </c>
      <c r="K68" s="47">
        <v>1134.5</v>
      </c>
      <c r="L68" s="47" t="s">
        <v>173</v>
      </c>
      <c r="M68" s="48" t="s">
        <v>70</v>
      </c>
      <c r="N68" s="48"/>
      <c r="O68" s="49" t="s">
        <v>99</v>
      </c>
      <c r="P68" s="49" t="s">
        <v>100</v>
      </c>
    </row>
    <row r="69" spans="1:16" ht="12.75" customHeight="1" thickBot="1" x14ac:dyDescent="0.25">
      <c r="A69" s="38" t="str">
        <f t="shared" si="6"/>
        <v> MHAR 10.8 </v>
      </c>
      <c r="B69" s="5" t="str">
        <f t="shared" si="7"/>
        <v>I</v>
      </c>
      <c r="C69" s="38">
        <f t="shared" si="8"/>
        <v>39404.292999999998</v>
      </c>
      <c r="D69" s="15" t="str">
        <f t="shared" si="9"/>
        <v>vis</v>
      </c>
      <c r="E69" s="46">
        <f>VLOOKUP(C69,Active!C$21:E$973,3,FALSE)</f>
        <v>1141.0121272993895</v>
      </c>
      <c r="F69" s="5" t="s">
        <v>64</v>
      </c>
      <c r="G69" s="15" t="str">
        <f t="shared" si="10"/>
        <v>39404.293</v>
      </c>
      <c r="H69" s="38">
        <f t="shared" si="11"/>
        <v>1141</v>
      </c>
      <c r="I69" s="47" t="s">
        <v>174</v>
      </c>
      <c r="J69" s="48" t="s">
        <v>175</v>
      </c>
      <c r="K69" s="47">
        <v>1141</v>
      </c>
      <c r="L69" s="47" t="s">
        <v>176</v>
      </c>
      <c r="M69" s="48" t="s">
        <v>70</v>
      </c>
      <c r="N69" s="48"/>
      <c r="O69" s="49" t="s">
        <v>99</v>
      </c>
      <c r="P69" s="49" t="s">
        <v>100</v>
      </c>
    </row>
    <row r="70" spans="1:16" ht="12.75" customHeight="1" thickBot="1" x14ac:dyDescent="0.25">
      <c r="A70" s="38" t="str">
        <f t="shared" si="6"/>
        <v> MHAR 10.8 </v>
      </c>
      <c r="B70" s="5" t="str">
        <f t="shared" si="7"/>
        <v>I</v>
      </c>
      <c r="C70" s="38">
        <f t="shared" si="8"/>
        <v>40145.326999999997</v>
      </c>
      <c r="D70" s="15" t="str">
        <f t="shared" si="9"/>
        <v>vis</v>
      </c>
      <c r="E70" s="46">
        <f>VLOOKUP(C70,Active!C$21:E$973,3,FALSE)</f>
        <v>1355.0127268201193</v>
      </c>
      <c r="F70" s="5" t="s">
        <v>64</v>
      </c>
      <c r="G70" s="15" t="str">
        <f t="shared" si="10"/>
        <v>40145.327</v>
      </c>
      <c r="H70" s="38">
        <f t="shared" si="11"/>
        <v>1355</v>
      </c>
      <c r="I70" s="47" t="s">
        <v>177</v>
      </c>
      <c r="J70" s="48" t="s">
        <v>178</v>
      </c>
      <c r="K70" s="47">
        <v>1355</v>
      </c>
      <c r="L70" s="47" t="s">
        <v>179</v>
      </c>
      <c r="M70" s="48" t="s">
        <v>70</v>
      </c>
      <c r="N70" s="48"/>
      <c r="O70" s="49" t="s">
        <v>99</v>
      </c>
      <c r="P70" s="49" t="s">
        <v>100</v>
      </c>
    </row>
    <row r="71" spans="1:16" ht="12.75" customHeight="1" thickBot="1" x14ac:dyDescent="0.25">
      <c r="A71" s="38" t="str">
        <f t="shared" si="6"/>
        <v> MHAR 10.8 </v>
      </c>
      <c r="B71" s="5" t="str">
        <f t="shared" si="7"/>
        <v>II</v>
      </c>
      <c r="C71" s="38">
        <f t="shared" si="8"/>
        <v>41179.421000000002</v>
      </c>
      <c r="D71" s="15" t="str">
        <f t="shared" si="9"/>
        <v>vis</v>
      </c>
      <c r="E71" s="46">
        <f>VLOOKUP(C71,Active!C$21:E$973,3,FALSE)</f>
        <v>1653.6450918138858</v>
      </c>
      <c r="F71" s="5" t="s">
        <v>64</v>
      </c>
      <c r="G71" s="15" t="str">
        <f t="shared" si="10"/>
        <v>41179.421</v>
      </c>
      <c r="H71" s="38">
        <f t="shared" si="11"/>
        <v>1653.5</v>
      </c>
      <c r="I71" s="47" t="s">
        <v>180</v>
      </c>
      <c r="J71" s="48" t="s">
        <v>181</v>
      </c>
      <c r="K71" s="47">
        <v>1653.5</v>
      </c>
      <c r="L71" s="47" t="s">
        <v>182</v>
      </c>
      <c r="M71" s="48" t="s">
        <v>70</v>
      </c>
      <c r="N71" s="48"/>
      <c r="O71" s="49" t="s">
        <v>99</v>
      </c>
      <c r="P71" s="49" t="s">
        <v>100</v>
      </c>
    </row>
    <row r="72" spans="1:16" ht="12.75" customHeight="1" thickBot="1" x14ac:dyDescent="0.25">
      <c r="A72" s="38" t="str">
        <f t="shared" si="6"/>
        <v>BAVM 60 </v>
      </c>
      <c r="B72" s="5" t="str">
        <f t="shared" si="7"/>
        <v>I</v>
      </c>
      <c r="C72" s="38">
        <f t="shared" si="8"/>
        <v>47763.413999999997</v>
      </c>
      <c r="D72" s="15" t="str">
        <f t="shared" si="9"/>
        <v>vis</v>
      </c>
      <c r="E72" s="46">
        <f>VLOOKUP(C72,Active!C$21:E$973,3,FALSE)</f>
        <v>3555.0132466357809</v>
      </c>
      <c r="F72" s="5" t="s">
        <v>64</v>
      </c>
      <c r="G72" s="15" t="str">
        <f t="shared" si="10"/>
        <v>47763.414</v>
      </c>
      <c r="H72" s="38">
        <f t="shared" si="11"/>
        <v>3555</v>
      </c>
      <c r="I72" s="47" t="s">
        <v>183</v>
      </c>
      <c r="J72" s="48" t="s">
        <v>184</v>
      </c>
      <c r="K72" s="47">
        <v>3555</v>
      </c>
      <c r="L72" s="47" t="s">
        <v>185</v>
      </c>
      <c r="M72" s="48" t="s">
        <v>66</v>
      </c>
      <c r="N72" s="48"/>
      <c r="O72" s="49" t="s">
        <v>186</v>
      </c>
      <c r="P72" s="50" t="s">
        <v>187</v>
      </c>
    </row>
    <row r="73" spans="1:16" ht="12.75" customHeight="1" thickBot="1" x14ac:dyDescent="0.25">
      <c r="A73" s="38" t="str">
        <f t="shared" si="6"/>
        <v>IBVS 4555/4653 </v>
      </c>
      <c r="B73" s="5" t="str">
        <f t="shared" si="7"/>
        <v>I</v>
      </c>
      <c r="C73" s="38">
        <f t="shared" si="8"/>
        <v>50270.469400000002</v>
      </c>
      <c r="D73" s="15" t="str">
        <f t="shared" si="9"/>
        <v>vis</v>
      </c>
      <c r="E73" s="46">
        <f>VLOOKUP(C73,Active!C$21:E$973,3,FALSE)</f>
        <v>4279.0169477232948</v>
      </c>
      <c r="F73" s="5" t="s">
        <v>64</v>
      </c>
      <c r="G73" s="15" t="str">
        <f t="shared" si="10"/>
        <v>50270.4694</v>
      </c>
      <c r="H73" s="38">
        <f t="shared" si="11"/>
        <v>4279</v>
      </c>
      <c r="I73" s="47" t="s">
        <v>195</v>
      </c>
      <c r="J73" s="48" t="s">
        <v>196</v>
      </c>
      <c r="K73" s="47">
        <v>4279</v>
      </c>
      <c r="L73" s="47" t="s">
        <v>197</v>
      </c>
      <c r="M73" s="48" t="s">
        <v>191</v>
      </c>
      <c r="N73" s="48" t="s">
        <v>192</v>
      </c>
      <c r="O73" s="49" t="s">
        <v>198</v>
      </c>
      <c r="P73" s="50" t="s">
        <v>199</v>
      </c>
    </row>
    <row r="74" spans="1:16" ht="12.75" customHeight="1" thickBot="1" x14ac:dyDescent="0.25">
      <c r="A74" s="38" t="str">
        <f t="shared" si="6"/>
        <v> BBS 115 </v>
      </c>
      <c r="B74" s="5" t="str">
        <f t="shared" si="7"/>
        <v>I</v>
      </c>
      <c r="C74" s="38">
        <f t="shared" si="8"/>
        <v>50599.432099999998</v>
      </c>
      <c r="D74" s="15" t="str">
        <f t="shared" si="9"/>
        <v>vis</v>
      </c>
      <c r="E74" s="46">
        <f>VLOOKUP(C74,Active!C$21:E$973,3,FALSE)</f>
        <v>4374.0169275082399</v>
      </c>
      <c r="F74" s="5" t="s">
        <v>64</v>
      </c>
      <c r="G74" s="15" t="str">
        <f t="shared" si="10"/>
        <v>50599.4321</v>
      </c>
      <c r="H74" s="38">
        <f t="shared" si="11"/>
        <v>4374</v>
      </c>
      <c r="I74" s="47" t="s">
        <v>200</v>
      </c>
      <c r="J74" s="48" t="s">
        <v>201</v>
      </c>
      <c r="K74" s="47">
        <v>4374</v>
      </c>
      <c r="L74" s="47" t="s">
        <v>202</v>
      </c>
      <c r="M74" s="48" t="s">
        <v>191</v>
      </c>
      <c r="N74" s="48" t="s">
        <v>192</v>
      </c>
      <c r="O74" s="49" t="s">
        <v>193</v>
      </c>
      <c r="P74" s="49" t="s">
        <v>203</v>
      </c>
    </row>
    <row r="75" spans="1:16" ht="12.75" customHeight="1" thickBot="1" x14ac:dyDescent="0.25">
      <c r="A75" s="38" t="str">
        <f t="shared" ref="A75:A90" si="12">P75</f>
        <v> BBS 123 </v>
      </c>
      <c r="B75" s="5" t="str">
        <f t="shared" ref="B75:B90" si="13">IF(H75=INT(H75),"I","II")</f>
        <v>I</v>
      </c>
      <c r="C75" s="38">
        <f t="shared" ref="C75:C90" si="14">1*G75</f>
        <v>51714.447399999997</v>
      </c>
      <c r="D75" s="15" t="str">
        <f t="shared" ref="D75:D90" si="15">VLOOKUP(F75,I$1:J$5,2,FALSE)</f>
        <v>vis</v>
      </c>
      <c r="E75" s="46">
        <f>VLOOKUP(C75,Active!C$21:E$973,3,FALSE)</f>
        <v>4696.0182697877935</v>
      </c>
      <c r="F75" s="5" t="s">
        <v>64</v>
      </c>
      <c r="G75" s="15" t="str">
        <f t="shared" ref="G75:G90" si="16">MID(I75,3,LEN(I75)-3)</f>
        <v>51714.4474</v>
      </c>
      <c r="H75" s="38">
        <f t="shared" ref="H75:H90" si="17">1*K75</f>
        <v>4696</v>
      </c>
      <c r="I75" s="47" t="s">
        <v>208</v>
      </c>
      <c r="J75" s="48" t="s">
        <v>209</v>
      </c>
      <c r="K75" s="47">
        <v>4696</v>
      </c>
      <c r="L75" s="47" t="s">
        <v>210</v>
      </c>
      <c r="M75" s="48" t="s">
        <v>191</v>
      </c>
      <c r="N75" s="48" t="s">
        <v>192</v>
      </c>
      <c r="O75" s="49" t="s">
        <v>193</v>
      </c>
      <c r="P75" s="49" t="s">
        <v>211</v>
      </c>
    </row>
    <row r="76" spans="1:16" ht="12.75" customHeight="1" thickBot="1" x14ac:dyDescent="0.25">
      <c r="A76" s="38" t="str">
        <f t="shared" si="12"/>
        <v>BAVM 193 </v>
      </c>
      <c r="B76" s="5" t="str">
        <f t="shared" si="13"/>
        <v>II</v>
      </c>
      <c r="C76" s="38">
        <f t="shared" si="14"/>
        <v>54365.541700000002</v>
      </c>
      <c r="D76" s="15" t="str">
        <f t="shared" si="15"/>
        <v>vis</v>
      </c>
      <c r="E76" s="46">
        <f>VLOOKUP(C76,Active!C$21:E$973,3,FALSE)</f>
        <v>5461.6184576145206</v>
      </c>
      <c r="F76" s="5" t="s">
        <v>64</v>
      </c>
      <c r="G76" s="15" t="str">
        <f t="shared" si="16"/>
        <v>54365.5417</v>
      </c>
      <c r="H76" s="38">
        <f t="shared" si="17"/>
        <v>5461.5</v>
      </c>
      <c r="I76" s="47" t="s">
        <v>257</v>
      </c>
      <c r="J76" s="48" t="s">
        <v>258</v>
      </c>
      <c r="K76" s="47" t="s">
        <v>259</v>
      </c>
      <c r="L76" s="47" t="s">
        <v>260</v>
      </c>
      <c r="M76" s="48" t="s">
        <v>241</v>
      </c>
      <c r="N76" s="48" t="s">
        <v>249</v>
      </c>
      <c r="O76" s="49" t="s">
        <v>250</v>
      </c>
      <c r="P76" s="50" t="s">
        <v>261</v>
      </c>
    </row>
    <row r="77" spans="1:16" ht="12.75" customHeight="1" thickBot="1" x14ac:dyDescent="0.25">
      <c r="A77" s="38" t="str">
        <f t="shared" si="12"/>
        <v>BAVM 203 </v>
      </c>
      <c r="B77" s="5" t="str">
        <f t="shared" si="13"/>
        <v>I</v>
      </c>
      <c r="C77" s="38">
        <f t="shared" si="14"/>
        <v>54685.5173</v>
      </c>
      <c r="D77" s="15" t="str">
        <f t="shared" si="15"/>
        <v>vis</v>
      </c>
      <c r="E77" s="46">
        <f>VLOOKUP(C77,Active!C$21:E$973,3,FALSE)</f>
        <v>5554.0230844359685</v>
      </c>
      <c r="F77" s="5" t="s">
        <v>64</v>
      </c>
      <c r="G77" s="15" t="str">
        <f t="shared" si="16"/>
        <v>54685.5173</v>
      </c>
      <c r="H77" s="38">
        <f t="shared" si="17"/>
        <v>5554</v>
      </c>
      <c r="I77" s="47" t="s">
        <v>267</v>
      </c>
      <c r="J77" s="48" t="s">
        <v>268</v>
      </c>
      <c r="K77" s="47" t="s">
        <v>269</v>
      </c>
      <c r="L77" s="47" t="s">
        <v>270</v>
      </c>
      <c r="M77" s="48" t="s">
        <v>241</v>
      </c>
      <c r="N77" s="48" t="s">
        <v>249</v>
      </c>
      <c r="O77" s="49" t="s">
        <v>250</v>
      </c>
      <c r="P77" s="50" t="s">
        <v>271</v>
      </c>
    </row>
    <row r="78" spans="1:16" ht="12.75" customHeight="1" thickBot="1" x14ac:dyDescent="0.25">
      <c r="A78" s="38" t="str">
        <f t="shared" si="12"/>
        <v>BAVM 212 </v>
      </c>
      <c r="B78" s="5" t="str">
        <f t="shared" si="13"/>
        <v>I</v>
      </c>
      <c r="C78" s="38">
        <f t="shared" si="14"/>
        <v>55066.424800000001</v>
      </c>
      <c r="D78" s="15" t="str">
        <f t="shared" si="15"/>
        <v>vis</v>
      </c>
      <c r="E78" s="46">
        <f>VLOOKUP(C78,Active!C$21:E$973,3,FALSE)</f>
        <v>5664.0240201041597</v>
      </c>
      <c r="F78" s="5" t="s">
        <v>64</v>
      </c>
      <c r="G78" s="15" t="str">
        <f t="shared" si="16"/>
        <v>55066.4248</v>
      </c>
      <c r="H78" s="38">
        <f t="shared" si="17"/>
        <v>5664</v>
      </c>
      <c r="I78" s="47" t="s">
        <v>278</v>
      </c>
      <c r="J78" s="48" t="s">
        <v>279</v>
      </c>
      <c r="K78" s="47" t="s">
        <v>280</v>
      </c>
      <c r="L78" s="47" t="s">
        <v>281</v>
      </c>
      <c r="M78" s="48" t="s">
        <v>241</v>
      </c>
      <c r="N78" s="48" t="s">
        <v>249</v>
      </c>
      <c r="O78" s="49" t="s">
        <v>250</v>
      </c>
      <c r="P78" s="50" t="s">
        <v>282</v>
      </c>
    </row>
    <row r="79" spans="1:16" ht="12.75" customHeight="1" thickBot="1" x14ac:dyDescent="0.25">
      <c r="A79" s="38" t="str">
        <f t="shared" si="12"/>
        <v>BAVM 212 </v>
      </c>
      <c r="B79" s="5" t="str">
        <f t="shared" si="13"/>
        <v>II</v>
      </c>
      <c r="C79" s="38">
        <f t="shared" si="14"/>
        <v>55068.464999999997</v>
      </c>
      <c r="D79" s="15" t="str">
        <f t="shared" si="15"/>
        <v>vis</v>
      </c>
      <c r="E79" s="46">
        <f>VLOOKUP(C79,Active!C$21:E$973,3,FALSE)</f>
        <v>5664.6132022781776</v>
      </c>
      <c r="F79" s="5" t="s">
        <v>64</v>
      </c>
      <c r="G79" s="15" t="str">
        <f t="shared" si="16"/>
        <v>55068.4650</v>
      </c>
      <c r="H79" s="38">
        <f t="shared" si="17"/>
        <v>5664.5</v>
      </c>
      <c r="I79" s="47" t="s">
        <v>283</v>
      </c>
      <c r="J79" s="48" t="s">
        <v>284</v>
      </c>
      <c r="K79" s="47" t="s">
        <v>285</v>
      </c>
      <c r="L79" s="47" t="s">
        <v>286</v>
      </c>
      <c r="M79" s="48" t="s">
        <v>241</v>
      </c>
      <c r="N79" s="48" t="s">
        <v>249</v>
      </c>
      <c r="O79" s="49" t="s">
        <v>250</v>
      </c>
      <c r="P79" s="50" t="s">
        <v>282</v>
      </c>
    </row>
    <row r="80" spans="1:16" ht="12.75" customHeight="1" thickBot="1" x14ac:dyDescent="0.25">
      <c r="A80" s="38" t="str">
        <f t="shared" si="12"/>
        <v>IBVS 5972 </v>
      </c>
      <c r="B80" s="5" t="str">
        <f t="shared" si="13"/>
        <v>I</v>
      </c>
      <c r="C80" s="38">
        <f t="shared" si="14"/>
        <v>55301.8923</v>
      </c>
      <c r="D80" s="15" t="str">
        <f t="shared" si="15"/>
        <v>vis</v>
      </c>
      <c r="E80" s="46">
        <f>VLOOKUP(C80,Active!C$21:E$973,3,FALSE)</f>
        <v>5732.0238502977099</v>
      </c>
      <c r="F80" s="5" t="s">
        <v>64</v>
      </c>
      <c r="G80" s="15" t="str">
        <f t="shared" si="16"/>
        <v>55301.8923</v>
      </c>
      <c r="H80" s="38">
        <f t="shared" si="17"/>
        <v>5732</v>
      </c>
      <c r="I80" s="47" t="s">
        <v>287</v>
      </c>
      <c r="J80" s="48" t="s">
        <v>288</v>
      </c>
      <c r="K80" s="47" t="s">
        <v>289</v>
      </c>
      <c r="L80" s="47" t="s">
        <v>290</v>
      </c>
      <c r="M80" s="48" t="s">
        <v>241</v>
      </c>
      <c r="N80" s="48" t="s">
        <v>64</v>
      </c>
      <c r="O80" s="49" t="s">
        <v>215</v>
      </c>
      <c r="P80" s="50" t="s">
        <v>291</v>
      </c>
    </row>
    <row r="81" spans="1:16" ht="12.75" customHeight="1" thickBot="1" x14ac:dyDescent="0.25">
      <c r="A81" s="38" t="str">
        <f t="shared" si="12"/>
        <v>IBVS 5972 </v>
      </c>
      <c r="B81" s="5" t="str">
        <f t="shared" si="13"/>
        <v>I</v>
      </c>
      <c r="C81" s="38">
        <f t="shared" si="14"/>
        <v>55301.8943</v>
      </c>
      <c r="D81" s="15" t="str">
        <f t="shared" si="15"/>
        <v>vis</v>
      </c>
      <c r="E81" s="46">
        <f>VLOOKUP(C81,Active!C$21:E$973,3,FALSE)</f>
        <v>5732.0244278706678</v>
      </c>
      <c r="F81" s="5" t="s">
        <v>64</v>
      </c>
      <c r="G81" s="15" t="str">
        <f t="shared" si="16"/>
        <v>55301.8943</v>
      </c>
      <c r="H81" s="38">
        <f t="shared" si="17"/>
        <v>5732</v>
      </c>
      <c r="I81" s="47" t="s">
        <v>292</v>
      </c>
      <c r="J81" s="48" t="s">
        <v>293</v>
      </c>
      <c r="K81" s="47" t="s">
        <v>289</v>
      </c>
      <c r="L81" s="47" t="s">
        <v>294</v>
      </c>
      <c r="M81" s="48" t="s">
        <v>241</v>
      </c>
      <c r="N81" s="48" t="s">
        <v>64</v>
      </c>
      <c r="O81" s="49" t="s">
        <v>215</v>
      </c>
      <c r="P81" s="50" t="s">
        <v>291</v>
      </c>
    </row>
    <row r="82" spans="1:16" ht="12.75" customHeight="1" thickBot="1" x14ac:dyDescent="0.25">
      <c r="A82" s="38" t="str">
        <f t="shared" si="12"/>
        <v>IBVS 5972 </v>
      </c>
      <c r="B82" s="5" t="str">
        <f t="shared" si="13"/>
        <v>I</v>
      </c>
      <c r="C82" s="38">
        <f t="shared" si="14"/>
        <v>55360.760600000001</v>
      </c>
      <c r="D82" s="15" t="str">
        <f t="shared" si="15"/>
        <v>vis</v>
      </c>
      <c r="E82" s="46">
        <f>VLOOKUP(C82,Active!C$21:E$973,3,FALSE)</f>
        <v>5749.02421936683</v>
      </c>
      <c r="F82" s="5" t="s">
        <v>64</v>
      </c>
      <c r="G82" s="15" t="str">
        <f t="shared" si="16"/>
        <v>55360.7606</v>
      </c>
      <c r="H82" s="38">
        <f t="shared" si="17"/>
        <v>5749</v>
      </c>
      <c r="I82" s="47" t="s">
        <v>295</v>
      </c>
      <c r="J82" s="48" t="s">
        <v>296</v>
      </c>
      <c r="K82" s="47" t="s">
        <v>297</v>
      </c>
      <c r="L82" s="47" t="s">
        <v>298</v>
      </c>
      <c r="M82" s="48" t="s">
        <v>241</v>
      </c>
      <c r="N82" s="48" t="s">
        <v>64</v>
      </c>
      <c r="O82" s="49" t="s">
        <v>215</v>
      </c>
      <c r="P82" s="50" t="s">
        <v>291</v>
      </c>
    </row>
    <row r="83" spans="1:16" ht="12.75" customHeight="1" thickBot="1" x14ac:dyDescent="0.25">
      <c r="A83" s="38" t="str">
        <f t="shared" si="12"/>
        <v>IBVS 5972 </v>
      </c>
      <c r="B83" s="5" t="str">
        <f t="shared" si="13"/>
        <v>II</v>
      </c>
      <c r="C83" s="38">
        <f t="shared" si="14"/>
        <v>55362.7981</v>
      </c>
      <c r="D83" s="15" t="str">
        <f t="shared" si="15"/>
        <v>vis</v>
      </c>
      <c r="E83" s="46">
        <f>VLOOKUP(C83,Active!C$21:E$973,3,FALSE)</f>
        <v>5749.6126218173567</v>
      </c>
      <c r="F83" s="5" t="s">
        <v>64</v>
      </c>
      <c r="G83" s="15" t="str">
        <f t="shared" si="16"/>
        <v>55362.7981</v>
      </c>
      <c r="H83" s="38">
        <f t="shared" si="17"/>
        <v>5749.5</v>
      </c>
      <c r="I83" s="47" t="s">
        <v>299</v>
      </c>
      <c r="J83" s="48" t="s">
        <v>300</v>
      </c>
      <c r="K83" s="47" t="s">
        <v>301</v>
      </c>
      <c r="L83" s="47" t="s">
        <v>302</v>
      </c>
      <c r="M83" s="48" t="s">
        <v>241</v>
      </c>
      <c r="N83" s="48" t="s">
        <v>64</v>
      </c>
      <c r="O83" s="49" t="s">
        <v>215</v>
      </c>
      <c r="P83" s="50" t="s">
        <v>291</v>
      </c>
    </row>
    <row r="84" spans="1:16" ht="12.75" customHeight="1" thickBot="1" x14ac:dyDescent="0.25">
      <c r="A84" s="38" t="str">
        <f t="shared" si="12"/>
        <v>IBVS 5972 </v>
      </c>
      <c r="B84" s="5" t="str">
        <f t="shared" si="13"/>
        <v>I</v>
      </c>
      <c r="C84" s="38">
        <f t="shared" si="14"/>
        <v>55457.716999999997</v>
      </c>
      <c r="D84" s="15" t="str">
        <f t="shared" si="15"/>
        <v>vis</v>
      </c>
      <c r="E84" s="46">
        <f>VLOOKUP(C84,Active!C$21:E$973,3,FALSE)</f>
        <v>5777.0239167185991</v>
      </c>
      <c r="F84" s="5" t="s">
        <v>64</v>
      </c>
      <c r="G84" s="15" t="str">
        <f t="shared" si="16"/>
        <v>55457.7170</v>
      </c>
      <c r="H84" s="38">
        <f t="shared" si="17"/>
        <v>5777</v>
      </c>
      <c r="I84" s="47" t="s">
        <v>303</v>
      </c>
      <c r="J84" s="48" t="s">
        <v>304</v>
      </c>
      <c r="K84" s="47" t="s">
        <v>305</v>
      </c>
      <c r="L84" s="47" t="s">
        <v>306</v>
      </c>
      <c r="M84" s="48" t="s">
        <v>241</v>
      </c>
      <c r="N84" s="48" t="s">
        <v>64</v>
      </c>
      <c r="O84" s="49" t="s">
        <v>215</v>
      </c>
      <c r="P84" s="50" t="s">
        <v>291</v>
      </c>
    </row>
    <row r="85" spans="1:16" ht="12.75" customHeight="1" thickBot="1" x14ac:dyDescent="0.25">
      <c r="A85" s="38" t="str">
        <f t="shared" si="12"/>
        <v>IBVS 5972 </v>
      </c>
      <c r="B85" s="5" t="str">
        <f t="shared" si="13"/>
        <v>II</v>
      </c>
      <c r="C85" s="38">
        <f t="shared" si="14"/>
        <v>55466.673199999997</v>
      </c>
      <c r="D85" s="15" t="str">
        <f t="shared" si="15"/>
        <v>vis</v>
      </c>
      <c r="E85" s="46">
        <f>VLOOKUP(C85,Active!C$21:E$973,3,FALSE)</f>
        <v>5779.610346179903</v>
      </c>
      <c r="F85" s="5" t="s">
        <v>64</v>
      </c>
      <c r="G85" s="15" t="str">
        <f t="shared" si="16"/>
        <v>55466.6732</v>
      </c>
      <c r="H85" s="38">
        <f t="shared" si="17"/>
        <v>5779.5</v>
      </c>
      <c r="I85" s="47" t="s">
        <v>307</v>
      </c>
      <c r="J85" s="48" t="s">
        <v>308</v>
      </c>
      <c r="K85" s="47" t="s">
        <v>309</v>
      </c>
      <c r="L85" s="47" t="s">
        <v>310</v>
      </c>
      <c r="M85" s="48" t="s">
        <v>241</v>
      </c>
      <c r="N85" s="48" t="s">
        <v>64</v>
      </c>
      <c r="O85" s="49" t="s">
        <v>215</v>
      </c>
      <c r="P85" s="50" t="s">
        <v>291</v>
      </c>
    </row>
    <row r="86" spans="1:16" ht="12.75" customHeight="1" thickBot="1" x14ac:dyDescent="0.25">
      <c r="A86" s="38" t="str">
        <f t="shared" si="12"/>
        <v>BAVM 220 </v>
      </c>
      <c r="B86" s="5" t="str">
        <f t="shared" si="13"/>
        <v>I</v>
      </c>
      <c r="C86" s="38">
        <f t="shared" si="14"/>
        <v>55710.502399999998</v>
      </c>
      <c r="D86" s="15" t="str">
        <f t="shared" si="15"/>
        <v>CCD</v>
      </c>
      <c r="E86" s="46">
        <f>VLOOKUP(C86,Active!C$21:E$973,3,FALSE)</f>
        <v>5850.024922273119</v>
      </c>
      <c r="F86" s="5" t="str">
        <f>LEFT(M86,1)</f>
        <v>C</v>
      </c>
      <c r="G86" s="15" t="str">
        <f t="shared" si="16"/>
        <v>55710.5024</v>
      </c>
      <c r="H86" s="38">
        <f t="shared" si="17"/>
        <v>5850</v>
      </c>
      <c r="I86" s="47" t="s">
        <v>311</v>
      </c>
      <c r="J86" s="48" t="s">
        <v>312</v>
      </c>
      <c r="K86" s="47" t="s">
        <v>313</v>
      </c>
      <c r="L86" s="47" t="s">
        <v>206</v>
      </c>
      <c r="M86" s="48" t="s">
        <v>241</v>
      </c>
      <c r="N86" s="48" t="s">
        <v>249</v>
      </c>
      <c r="O86" s="49" t="s">
        <v>250</v>
      </c>
      <c r="P86" s="50" t="s">
        <v>314</v>
      </c>
    </row>
    <row r="87" spans="1:16" ht="12.75" customHeight="1" thickBot="1" x14ac:dyDescent="0.25">
      <c r="A87" s="38" t="str">
        <f t="shared" si="12"/>
        <v>IBVS 6014 </v>
      </c>
      <c r="B87" s="5" t="str">
        <f t="shared" si="13"/>
        <v>II</v>
      </c>
      <c r="C87" s="38">
        <f t="shared" si="14"/>
        <v>55722.910600000003</v>
      </c>
      <c r="D87" s="15" t="str">
        <f t="shared" si="15"/>
        <v>CCD</v>
      </c>
      <c r="E87" s="46">
        <f>VLOOKUP(C87,Active!C$21:E$973,3,FALSE)</f>
        <v>5853.6082426591929</v>
      </c>
      <c r="F87" s="5" t="str">
        <f>LEFT(M87,1)</f>
        <v>C</v>
      </c>
      <c r="G87" s="15" t="str">
        <f t="shared" si="16"/>
        <v>55722.9106</v>
      </c>
      <c r="H87" s="38">
        <f t="shared" si="17"/>
        <v>5853.5</v>
      </c>
      <c r="I87" s="47" t="s">
        <v>315</v>
      </c>
      <c r="J87" s="48" t="s">
        <v>316</v>
      </c>
      <c r="K87" s="47" t="s">
        <v>317</v>
      </c>
      <c r="L87" s="47" t="s">
        <v>318</v>
      </c>
      <c r="M87" s="48" t="s">
        <v>241</v>
      </c>
      <c r="N87" s="48" t="s">
        <v>64</v>
      </c>
      <c r="O87" s="49" t="s">
        <v>215</v>
      </c>
      <c r="P87" s="50" t="s">
        <v>319</v>
      </c>
    </row>
    <row r="88" spans="1:16" ht="12.75" customHeight="1" thickBot="1" x14ac:dyDescent="0.25">
      <c r="A88" s="38" t="str">
        <f t="shared" si="12"/>
        <v>IBVS 5992 </v>
      </c>
      <c r="B88" s="5" t="str">
        <f t="shared" si="13"/>
        <v>I</v>
      </c>
      <c r="C88" s="38">
        <f t="shared" si="14"/>
        <v>55727.815399999999</v>
      </c>
      <c r="D88" s="15" t="str">
        <f t="shared" si="15"/>
        <v>CCD</v>
      </c>
      <c r="E88" s="46">
        <f>VLOOKUP(C88,Active!C$21:E$973,3,FALSE)</f>
        <v>5855.0246825803415</v>
      </c>
      <c r="F88" s="5" t="str">
        <f>LEFT(M88,1)</f>
        <v>C</v>
      </c>
      <c r="G88" s="15" t="str">
        <f t="shared" si="16"/>
        <v>55727.8154</v>
      </c>
      <c r="H88" s="38">
        <f t="shared" si="17"/>
        <v>5855</v>
      </c>
      <c r="I88" s="47" t="s">
        <v>320</v>
      </c>
      <c r="J88" s="48" t="s">
        <v>321</v>
      </c>
      <c r="K88" s="47" t="s">
        <v>322</v>
      </c>
      <c r="L88" s="47" t="s">
        <v>323</v>
      </c>
      <c r="M88" s="48" t="s">
        <v>241</v>
      </c>
      <c r="N88" s="48" t="s">
        <v>64</v>
      </c>
      <c r="O88" s="49" t="s">
        <v>193</v>
      </c>
      <c r="P88" s="50" t="s">
        <v>324</v>
      </c>
    </row>
    <row r="89" spans="1:16" ht="12.75" customHeight="1" thickBot="1" x14ac:dyDescent="0.25">
      <c r="A89" s="38" t="str">
        <f t="shared" si="12"/>
        <v>IBVS 5992 </v>
      </c>
      <c r="B89" s="5" t="str">
        <f t="shared" si="13"/>
        <v>II</v>
      </c>
      <c r="C89" s="38">
        <f t="shared" si="14"/>
        <v>55736.766000000003</v>
      </c>
      <c r="D89" s="15" t="str">
        <f t="shared" si="15"/>
        <v>CCD</v>
      </c>
      <c r="E89" s="46">
        <f>VLOOKUP(C89,Active!C$21:E$973,3,FALSE)</f>
        <v>5857.6094948373657</v>
      </c>
      <c r="F89" s="5" t="str">
        <f>LEFT(M89,1)</f>
        <v>C</v>
      </c>
      <c r="G89" s="15" t="str">
        <f t="shared" si="16"/>
        <v>55736.7660</v>
      </c>
      <c r="H89" s="38">
        <f t="shared" si="17"/>
        <v>5857.5</v>
      </c>
      <c r="I89" s="47" t="s">
        <v>325</v>
      </c>
      <c r="J89" s="48" t="s">
        <v>326</v>
      </c>
      <c r="K89" s="47" t="s">
        <v>327</v>
      </c>
      <c r="L89" s="47" t="s">
        <v>328</v>
      </c>
      <c r="M89" s="48" t="s">
        <v>241</v>
      </c>
      <c r="N89" s="48" t="s">
        <v>64</v>
      </c>
      <c r="O89" s="49" t="s">
        <v>193</v>
      </c>
      <c r="P89" s="50" t="s">
        <v>324</v>
      </c>
    </row>
    <row r="90" spans="1:16" ht="12.75" customHeight="1" thickBot="1" x14ac:dyDescent="0.25">
      <c r="A90" s="38" t="str">
        <f t="shared" si="12"/>
        <v>IBVS 6014 </v>
      </c>
      <c r="B90" s="5" t="str">
        <f t="shared" si="13"/>
        <v>II</v>
      </c>
      <c r="C90" s="38">
        <f t="shared" si="14"/>
        <v>55833.712800000001</v>
      </c>
      <c r="D90" s="15" t="str">
        <f t="shared" si="15"/>
        <v>CCD</v>
      </c>
      <c r="E90" s="46">
        <f>VLOOKUP(C90,Active!C$21:E$973,3,FALSE)</f>
        <v>5885.6064198389386</v>
      </c>
      <c r="F90" s="5" t="str">
        <f>LEFT(M90,1)</f>
        <v>C</v>
      </c>
      <c r="G90" s="15" t="str">
        <f t="shared" si="16"/>
        <v>55833.7128</v>
      </c>
      <c r="H90" s="38">
        <f t="shared" si="17"/>
        <v>5885.5</v>
      </c>
      <c r="I90" s="47" t="s">
        <v>329</v>
      </c>
      <c r="J90" s="48" t="s">
        <v>330</v>
      </c>
      <c r="K90" s="47" t="s">
        <v>331</v>
      </c>
      <c r="L90" s="47" t="s">
        <v>332</v>
      </c>
      <c r="M90" s="48" t="s">
        <v>241</v>
      </c>
      <c r="N90" s="48" t="s">
        <v>64</v>
      </c>
      <c r="O90" s="49" t="s">
        <v>215</v>
      </c>
      <c r="P90" s="50" t="s">
        <v>319</v>
      </c>
    </row>
    <row r="91" spans="1:16" x14ac:dyDescent="0.2">
      <c r="B91" s="5"/>
      <c r="F91" s="5"/>
    </row>
    <row r="92" spans="1:16" x14ac:dyDescent="0.2">
      <c r="B92" s="5"/>
      <c r="F92" s="5"/>
    </row>
    <row r="93" spans="1:16" x14ac:dyDescent="0.2">
      <c r="B93" s="5"/>
      <c r="F93" s="5"/>
    </row>
    <row r="94" spans="1:16" x14ac:dyDescent="0.2">
      <c r="B94" s="5"/>
      <c r="F94" s="5"/>
    </row>
    <row r="95" spans="1:16" x14ac:dyDescent="0.2">
      <c r="B95" s="5"/>
      <c r="F95" s="5"/>
    </row>
    <row r="96" spans="1:1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</sheetData>
  <phoneticPr fontId="8" type="noConversion"/>
  <hyperlinks>
    <hyperlink ref="P72" r:id="rId1" display="http://www.bav-astro.de/sfs/BAVM_link.php?BAVMnr=60"/>
    <hyperlink ref="P73" r:id="rId2" display="http://www.konkoly.hu/cgi-bin/IBVS?4555"/>
    <hyperlink ref="P13" r:id="rId3" display="http://www.konkoly.hu/cgi-bin/IBVS?5670"/>
    <hyperlink ref="P14" r:id="rId4" display="http://www.konkoly.hu/cgi-bin/IBVS?5670"/>
    <hyperlink ref="P15" r:id="rId5" display="http://www.konkoly.hu/cgi-bin/IBVS?5670"/>
    <hyperlink ref="P16" r:id="rId6" display="http://www.konkoly.hu/cgi-bin/IBVS?5670"/>
    <hyperlink ref="P17" r:id="rId7" display="http://www.konkoly.hu/cgi-bin/IBVS?5670"/>
    <hyperlink ref="P18" r:id="rId8" display="http://www.konkoly.hu/cgi-bin/IBVS?5670"/>
    <hyperlink ref="P19" r:id="rId9" display="http://www.konkoly.hu/cgi-bin/IBVS?5745"/>
    <hyperlink ref="P20" r:id="rId10" display="http://www.konkoly.hu/cgi-bin/IBVS?5745"/>
    <hyperlink ref="P21" r:id="rId11" display="http://www.konkoly.hu/cgi-bin/IBVS?5764"/>
    <hyperlink ref="P22" r:id="rId12" display="http://www.konkoly.hu/cgi-bin/IBVS?5764"/>
    <hyperlink ref="P23" r:id="rId13" display="http://www.bav-astro.de/sfs/BAVM_link.php?BAVMnr=178"/>
    <hyperlink ref="P24" r:id="rId14" display="http://www.konkoly.hu/cgi-bin/IBVS?5713"/>
    <hyperlink ref="P76" r:id="rId15" display="http://www.bav-astro.de/sfs/BAVM_link.php?BAVMnr=193"/>
    <hyperlink ref="P25" r:id="rId16" display="http://www.konkoly.hu/cgi-bin/IBVS?5910"/>
    <hyperlink ref="P77" r:id="rId17" display="http://www.bav-astro.de/sfs/BAVM_link.php?BAVMnr=203"/>
    <hyperlink ref="P26" r:id="rId18" display="http://www.konkoly.hu/cgi-bin/IBVS?5933"/>
    <hyperlink ref="P78" r:id="rId19" display="http://www.bav-astro.de/sfs/BAVM_link.php?BAVMnr=212"/>
    <hyperlink ref="P79" r:id="rId20" display="http://www.bav-astro.de/sfs/BAVM_link.php?BAVMnr=212"/>
    <hyperlink ref="P80" r:id="rId21" display="http://www.konkoly.hu/cgi-bin/IBVS?5972"/>
    <hyperlink ref="P81" r:id="rId22" display="http://www.konkoly.hu/cgi-bin/IBVS?5972"/>
    <hyperlink ref="P82" r:id="rId23" display="http://www.konkoly.hu/cgi-bin/IBVS?5972"/>
    <hyperlink ref="P83" r:id="rId24" display="http://www.konkoly.hu/cgi-bin/IBVS?5972"/>
    <hyperlink ref="P84" r:id="rId25" display="http://www.konkoly.hu/cgi-bin/IBVS?5972"/>
    <hyperlink ref="P85" r:id="rId26" display="http://www.konkoly.hu/cgi-bin/IBVS?5972"/>
    <hyperlink ref="P86" r:id="rId27" display="http://www.bav-astro.de/sfs/BAVM_link.php?BAVMnr=220"/>
    <hyperlink ref="P87" r:id="rId28" display="http://www.konkoly.hu/cgi-bin/IBVS?6014"/>
    <hyperlink ref="P88" r:id="rId29" display="http://www.konkoly.hu/cgi-bin/IBVS?5992"/>
    <hyperlink ref="P89" r:id="rId30" display="http://www.konkoly.hu/cgi-bin/IBVS?5992"/>
    <hyperlink ref="P90" r:id="rId31" display="http://www.konkoly.hu/cgi-bin/IBVS?6014"/>
    <hyperlink ref="P27" r:id="rId32" display="http://var.astro.cz/oejv/issues/oejv0160.pdf"/>
    <hyperlink ref="P28" r:id="rId33" display="http://www.konkoly.hu/cgi-bin/IBVS?6046"/>
    <hyperlink ref="P29" r:id="rId34" display="http://www.konkoly.hu/cgi-bin/IBVS?6046"/>
    <hyperlink ref="P30" r:id="rId35" display="http://www.konkoly.hu/cgi-bin/IBVS?6029"/>
    <hyperlink ref="P31" r:id="rId36" display="http://www.konkoly.hu/cgi-bin/IBVS?6029"/>
    <hyperlink ref="P32" r:id="rId37" display="http://var.astro.cz/oejv/issues/oejv0160.pdf"/>
    <hyperlink ref="P33" r:id="rId38" display="http://www.konkoly.hu/cgi-bin/IBVS?6098"/>
    <hyperlink ref="P34" r:id="rId39" display="http://www.konkoly.hu/cgi-bin/IBVS?609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2023-01-13T04:26:55Z</dcterms:modified>
</cp:coreProperties>
</file>