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44E5A6A-4B45-4CC3-A3A3-0787AB0483A5}" xr6:coauthVersionLast="47" xr6:coauthVersionMax="47" xr10:uidLastSave="{00000000-0000-0000-0000-000000000000}"/>
  <bookViews>
    <workbookView xWindow="13800" yWindow="33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F55" i="1" s="1"/>
  <c r="G55" i="1" s="1"/>
  <c r="K55" i="1" s="1"/>
  <c r="Q55" i="1"/>
  <c r="E56" i="1"/>
  <c r="F56" i="1"/>
  <c r="G56" i="1" s="1"/>
  <c r="K56" i="1" s="1"/>
  <c r="Q56" i="1"/>
  <c r="E54" i="1"/>
  <c r="F54" i="1"/>
  <c r="G54" i="1" s="1"/>
  <c r="K54" i="1" s="1"/>
  <c r="Q54" i="1"/>
  <c r="Q52" i="1"/>
  <c r="E53" i="1"/>
  <c r="F53" i="1"/>
  <c r="G53" i="1" s="1"/>
  <c r="K53" i="1" s="1"/>
  <c r="E52" i="1"/>
  <c r="F52" i="1" s="1"/>
  <c r="G52" i="1" s="1"/>
  <c r="K52" i="1" s="1"/>
  <c r="Q53" i="1"/>
  <c r="E46" i="1"/>
  <c r="F46" i="1" s="1"/>
  <c r="G46" i="1" s="1"/>
  <c r="K46" i="1" s="1"/>
  <c r="E44" i="1"/>
  <c r="F44" i="1" s="1"/>
  <c r="G44" i="1" s="1"/>
  <c r="J44" i="1" s="1"/>
  <c r="E29" i="1"/>
  <c r="F29" i="1" s="1"/>
  <c r="G29" i="1" s="1"/>
  <c r="J29" i="1" s="1"/>
  <c r="E45" i="1"/>
  <c r="F45" i="1"/>
  <c r="G45" i="1" s="1"/>
  <c r="K45" i="1" s="1"/>
  <c r="E47" i="1"/>
  <c r="F47" i="1" s="1"/>
  <c r="G47" i="1" s="1"/>
  <c r="K47" i="1" s="1"/>
  <c r="E48" i="1"/>
  <c r="F48" i="1"/>
  <c r="G48" i="1" s="1"/>
  <c r="K48" i="1" s="1"/>
  <c r="E49" i="1"/>
  <c r="F49" i="1" s="1"/>
  <c r="G49" i="1" s="1"/>
  <c r="K49" i="1" s="1"/>
  <c r="E21" i="1"/>
  <c r="F21" i="1" s="1"/>
  <c r="G21" i="1" s="1"/>
  <c r="K21" i="1" s="1"/>
  <c r="E22" i="1"/>
  <c r="F22" i="1" s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E21" i="2" s="1"/>
  <c r="E26" i="1"/>
  <c r="F26" i="1" s="1"/>
  <c r="G26" i="1" s="1"/>
  <c r="K26" i="1" s="1"/>
  <c r="E27" i="1"/>
  <c r="F27" i="1" s="1"/>
  <c r="G27" i="1" s="1"/>
  <c r="K27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/>
  <c r="G35" i="1" s="1"/>
  <c r="K35" i="1" s="1"/>
  <c r="E36" i="1"/>
  <c r="F36" i="1" s="1"/>
  <c r="G36" i="1" s="1"/>
  <c r="K36" i="1" s="1"/>
  <c r="E37" i="1"/>
  <c r="F37" i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/>
  <c r="G41" i="1" s="1"/>
  <c r="K41" i="1" s="1"/>
  <c r="E42" i="1"/>
  <c r="F42" i="1" s="1"/>
  <c r="G42" i="1" s="1"/>
  <c r="K42" i="1" s="1"/>
  <c r="E43" i="1"/>
  <c r="F43" i="1"/>
  <c r="G43" i="1" s="1"/>
  <c r="K43" i="1" s="1"/>
  <c r="D9" i="1"/>
  <c r="C9" i="1"/>
  <c r="E50" i="1"/>
  <c r="F50" i="1"/>
  <c r="G50" i="1" s="1"/>
  <c r="K50" i="1" s="1"/>
  <c r="E51" i="1"/>
  <c r="F51" i="1" s="1"/>
  <c r="G51" i="1" s="1"/>
  <c r="J51" i="1" s="1"/>
  <c r="E28" i="1"/>
  <c r="F28" i="1"/>
  <c r="G28" i="1" s="1"/>
  <c r="I28" i="1" s="1"/>
  <c r="Q21" i="1"/>
  <c r="Q22" i="1"/>
  <c r="Q23" i="1"/>
  <c r="Q24" i="1"/>
  <c r="Q25" i="1"/>
  <c r="Q26" i="1"/>
  <c r="Q27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8" i="1"/>
  <c r="Q49" i="1"/>
  <c r="G16" i="2"/>
  <c r="C16" i="2" s="1"/>
  <c r="E16" i="2" s="1"/>
  <c r="G15" i="2"/>
  <c r="C15" i="2"/>
  <c r="E15" i="2"/>
  <c r="G40" i="2"/>
  <c r="C40" i="2"/>
  <c r="G39" i="2"/>
  <c r="C39" i="2"/>
  <c r="E39" i="2" s="1"/>
  <c r="G14" i="2"/>
  <c r="C14" i="2"/>
  <c r="E14" i="2" s="1"/>
  <c r="G13" i="2"/>
  <c r="C13" i="2" s="1"/>
  <c r="G38" i="2"/>
  <c r="C38" i="2" s="1"/>
  <c r="E38" i="2" s="1"/>
  <c r="G12" i="2"/>
  <c r="C12" i="2" s="1"/>
  <c r="G37" i="2"/>
  <c r="C37" i="2" s="1"/>
  <c r="G36" i="2"/>
  <c r="C36" i="2"/>
  <c r="E36" i="2"/>
  <c r="G35" i="2"/>
  <c r="C35" i="2"/>
  <c r="E35" i="2" s="1"/>
  <c r="G34" i="2"/>
  <c r="C34" i="2"/>
  <c r="E34" i="2" s="1"/>
  <c r="G33" i="2"/>
  <c r="C33" i="2"/>
  <c r="E33" i="2" s="1"/>
  <c r="G32" i="2"/>
  <c r="C32" i="2" s="1"/>
  <c r="E32" i="2" s="1"/>
  <c r="G31" i="2"/>
  <c r="C31" i="2" s="1"/>
  <c r="E31" i="2" s="1"/>
  <c r="G30" i="2"/>
  <c r="C30" i="2" s="1"/>
  <c r="E30" i="2" s="1"/>
  <c r="G29" i="2"/>
  <c r="C29" i="2" s="1"/>
  <c r="E29" i="2" s="1"/>
  <c r="G28" i="2"/>
  <c r="C28" i="2"/>
  <c r="E28" i="2"/>
  <c r="G27" i="2"/>
  <c r="C27" i="2"/>
  <c r="E27" i="2" s="1"/>
  <c r="G26" i="2"/>
  <c r="C26" i="2"/>
  <c r="G25" i="2"/>
  <c r="C25" i="2"/>
  <c r="E25" i="2" s="1"/>
  <c r="G24" i="2"/>
  <c r="C24" i="2" s="1"/>
  <c r="E24" i="2" s="1"/>
  <c r="G11" i="2"/>
  <c r="C11" i="2" s="1"/>
  <c r="E11" i="2" s="1"/>
  <c r="G23" i="2"/>
  <c r="C23" i="2" s="1"/>
  <c r="E23" i="2" s="1"/>
  <c r="G22" i="2"/>
  <c r="C22" i="2" s="1"/>
  <c r="E22" i="2" s="1"/>
  <c r="G21" i="2"/>
  <c r="C21" i="2"/>
  <c r="G20" i="2"/>
  <c r="C20" i="2"/>
  <c r="E20" i="2" s="1"/>
  <c r="G19" i="2"/>
  <c r="C19" i="2"/>
  <c r="E19" i="2" s="1"/>
  <c r="G18" i="2"/>
  <c r="C18" i="2"/>
  <c r="E18" i="2" s="1"/>
  <c r="G17" i="2"/>
  <c r="C17" i="2" s="1"/>
  <c r="E17" i="2" s="1"/>
  <c r="H16" i="2"/>
  <c r="B16" i="2" s="1"/>
  <c r="D16" i="2"/>
  <c r="A16" i="2"/>
  <c r="H15" i="2"/>
  <c r="B15" i="2" s="1"/>
  <c r="D15" i="2"/>
  <c r="A15" i="2"/>
  <c r="H40" i="2"/>
  <c r="B40" i="2" s="1"/>
  <c r="D40" i="2"/>
  <c r="A40" i="2"/>
  <c r="H39" i="2"/>
  <c r="B39" i="2" s="1"/>
  <c r="D39" i="2"/>
  <c r="A39" i="2"/>
  <c r="H14" i="2"/>
  <c r="B14" i="2" s="1"/>
  <c r="D14" i="2"/>
  <c r="A14" i="2"/>
  <c r="H13" i="2"/>
  <c r="B13" i="2" s="1"/>
  <c r="D13" i="2"/>
  <c r="A13" i="2"/>
  <c r="H38" i="2"/>
  <c r="B38" i="2" s="1"/>
  <c r="D38" i="2"/>
  <c r="A38" i="2"/>
  <c r="H12" i="2"/>
  <c r="B12" i="2" s="1"/>
  <c r="D12" i="2"/>
  <c r="A12" i="2"/>
  <c r="H37" i="2"/>
  <c r="B37" i="2" s="1"/>
  <c r="D37" i="2"/>
  <c r="A37" i="2"/>
  <c r="H36" i="2"/>
  <c r="B36" i="2" s="1"/>
  <c r="D36" i="2"/>
  <c r="A36" i="2"/>
  <c r="H35" i="2"/>
  <c r="B35" i="2" s="1"/>
  <c r="D35" i="2"/>
  <c r="A35" i="2"/>
  <c r="H34" i="2"/>
  <c r="B34" i="2" s="1"/>
  <c r="D34" i="2"/>
  <c r="A34" i="2"/>
  <c r="H33" i="2"/>
  <c r="B33" i="2" s="1"/>
  <c r="D33" i="2"/>
  <c r="A33" i="2"/>
  <c r="H32" i="2"/>
  <c r="B32" i="2" s="1"/>
  <c r="D32" i="2"/>
  <c r="A32" i="2"/>
  <c r="H31" i="2"/>
  <c r="B31" i="2" s="1"/>
  <c r="D31" i="2"/>
  <c r="A31" i="2"/>
  <c r="H30" i="2"/>
  <c r="B30" i="2" s="1"/>
  <c r="D30" i="2"/>
  <c r="A30" i="2"/>
  <c r="H29" i="2"/>
  <c r="B29" i="2" s="1"/>
  <c r="D29" i="2"/>
  <c r="A29" i="2"/>
  <c r="H28" i="2"/>
  <c r="B28" i="2" s="1"/>
  <c r="D28" i="2"/>
  <c r="A28" i="2"/>
  <c r="H27" i="2"/>
  <c r="B27" i="2" s="1"/>
  <c r="D27" i="2"/>
  <c r="A27" i="2"/>
  <c r="H26" i="2"/>
  <c r="B26" i="2" s="1"/>
  <c r="D26" i="2"/>
  <c r="A26" i="2"/>
  <c r="H25" i="2"/>
  <c r="B25" i="2" s="1"/>
  <c r="D25" i="2"/>
  <c r="A25" i="2"/>
  <c r="H24" i="2"/>
  <c r="B24" i="2" s="1"/>
  <c r="D24" i="2"/>
  <c r="A24" i="2"/>
  <c r="H11" i="2"/>
  <c r="B11" i="2" s="1"/>
  <c r="D11" i="2"/>
  <c r="A11" i="2"/>
  <c r="H23" i="2"/>
  <c r="B23" i="2" s="1"/>
  <c r="D23" i="2"/>
  <c r="A23" i="2"/>
  <c r="H22" i="2"/>
  <c r="B22" i="2" s="1"/>
  <c r="D22" i="2"/>
  <c r="A22" i="2"/>
  <c r="H21" i="2"/>
  <c r="B21" i="2" s="1"/>
  <c r="D21" i="2"/>
  <c r="A21" i="2"/>
  <c r="H20" i="2"/>
  <c r="B20" i="2" s="1"/>
  <c r="D20" i="2"/>
  <c r="A20" i="2"/>
  <c r="H19" i="2"/>
  <c r="B19" i="2" s="1"/>
  <c r="D19" i="2"/>
  <c r="A19" i="2"/>
  <c r="H18" i="2"/>
  <c r="B18" i="2" s="1"/>
  <c r="D18" i="2"/>
  <c r="A18" i="2"/>
  <c r="H17" i="2"/>
  <c r="B17" i="2" s="1"/>
  <c r="D17" i="2"/>
  <c r="A17" i="2"/>
  <c r="Q51" i="1"/>
  <c r="F16" i="1"/>
  <c r="F17" i="1" s="1"/>
  <c r="C17" i="1"/>
  <c r="Q50" i="1"/>
  <c r="Q46" i="1"/>
  <c r="Q28" i="1"/>
  <c r="Q29" i="1"/>
  <c r="Q44" i="1"/>
  <c r="Q47" i="1"/>
  <c r="F25" i="1" l="1"/>
  <c r="G25" i="1" s="1"/>
  <c r="E37" i="2"/>
  <c r="E40" i="2"/>
  <c r="E12" i="2"/>
  <c r="E13" i="2"/>
  <c r="E26" i="2"/>
  <c r="C11" i="1"/>
  <c r="C12" i="1"/>
  <c r="C16" i="1" l="1"/>
  <c r="D18" i="1" s="1"/>
  <c r="O39" i="1"/>
  <c r="O41" i="1"/>
  <c r="O47" i="1"/>
  <c r="O31" i="1"/>
  <c r="C15" i="1"/>
  <c r="C18" i="1" s="1"/>
  <c r="O27" i="1"/>
  <c r="O36" i="1"/>
  <c r="O28" i="1"/>
  <c r="O23" i="1"/>
  <c r="O50" i="1"/>
  <c r="O25" i="1"/>
  <c r="O24" i="1"/>
  <c r="O21" i="1"/>
  <c r="O22" i="1"/>
  <c r="O40" i="1"/>
  <c r="O33" i="1"/>
  <c r="O49" i="1"/>
  <c r="O38" i="1"/>
  <c r="O56" i="1"/>
  <c r="O26" i="1"/>
  <c r="O43" i="1"/>
  <c r="O52" i="1"/>
  <c r="O46" i="1"/>
  <c r="O35" i="1"/>
  <c r="O45" i="1"/>
  <c r="O51" i="1"/>
  <c r="O29" i="1"/>
  <c r="O55" i="1"/>
  <c r="O48" i="1"/>
  <c r="O34" i="1"/>
  <c r="O54" i="1"/>
  <c r="O32" i="1"/>
  <c r="O53" i="1"/>
  <c r="O37" i="1"/>
  <c r="O44" i="1"/>
  <c r="O42" i="1"/>
  <c r="O30" i="1"/>
  <c r="K25" i="1"/>
  <c r="F18" i="1" l="1"/>
  <c r="F19" i="1" s="1"/>
</calcChain>
</file>

<file path=xl/sharedStrings.xml><?xml version="1.0" encoding="utf-8"?>
<sst xmlns="http://schemas.openxmlformats.org/spreadsheetml/2006/main" count="414" uniqueCount="196">
  <si>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</si>
  <si>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</si>
  <si>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</si>
  <si>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</si>
  <si>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</si>
  <si>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</si>
  <si>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</si>
  <si>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</si>
  <si>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</si>
  <si>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</si>
  <si>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</si>
  <si>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</si>
  <si>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</si>
  <si>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</si>
  <si>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</si>
  <si>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</si>
  <si>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</si>
  <si>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</si>
  <si>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</si>
  <si>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</si>
  <si>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</si>
  <si>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</si>
  <si>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</si>
  <si>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</si>
  <si>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</si>
  <si>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</si>
  <si>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</si>
  <si>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</si>
  <si>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</si>
  <si>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</si>
  <si>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</si>
  <si>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</si>
  <si>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</si>
  <si>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</si>
  <si>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</si>
  <si>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</si>
  <si>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II</t>
  </si>
  <si>
    <t>I</t>
  </si>
  <si>
    <t>IBVS 5761</t>
  </si>
  <si>
    <t>EW</t>
  </si>
  <si>
    <t>V1815 Cyg / GSC 3609-2052</t>
  </si>
  <si>
    <t>Kreiner</t>
  </si>
  <si>
    <t>IBVS 5920</t>
  </si>
  <si>
    <t>J.M. Kreiner, 2004, Acta Astronomica, vol. 54, pp 207-210.</t>
  </si>
  <si>
    <t>IBVS 6042</t>
  </si>
  <si>
    <t>BAD?</t>
  </si>
  <si>
    <t>Add cycle</t>
  </si>
  <si>
    <t>Old Cycle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</si>
  <si>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</si>
  <si>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</si>
  <si>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</si>
  <si>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</si>
  <si>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</si>
  <si>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</si>
  <si>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</si>
  <si>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</si>
  <si>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</si>
  <si>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</si>
  <si>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</si>
  <si>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</si>
  <si>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2451316.3765 </t>
  </si>
  <si>
    <t> 17.05.1999 21:02 </t>
  </si>
  <si>
    <t> 0.0060 </t>
  </si>
  <si>
    <t>E </t>
  </si>
  <si>
    <t>ns</t>
  </si>
  <si>
    <t> D.Husar </t>
  </si>
  <si>
    <t>BAVM R55 </t>
  </si>
  <si>
    <t>2451434.2218 </t>
  </si>
  <si>
    <t> 12.09.1999 17:19 </t>
  </si>
  <si>
    <t> 0.0029 </t>
  </si>
  <si>
    <t>2451481.1655 </t>
  </si>
  <si>
    <t> 29.10.1999 15:58 </t>
  </si>
  <si>
    <t> 0.0009 </t>
  </si>
  <si>
    <t>2451481.4104 </t>
  </si>
  <si>
    <t> 29.10.1999 21:50 </t>
  </si>
  <si>
    <t> 0.0038 </t>
  </si>
  <si>
    <t>2451482.1335 </t>
  </si>
  <si>
    <t> 30.10.1999 15:12 </t>
  </si>
  <si>
    <t>2451483.3467 </t>
  </si>
  <si>
    <t> 31.10.1999 20:19 </t>
  </si>
  <si>
    <t> 0.0042 </t>
  </si>
  <si>
    <t>2451486.2569 </t>
  </si>
  <si>
    <t> 03.11.1999 18:09 </t>
  </si>
  <si>
    <t> 0.0105 </t>
  </si>
  <si>
    <t>2452876.4673 </t>
  </si>
  <si>
    <t> 24.08.2003 23:12 </t>
  </si>
  <si>
    <t> -0.0027 </t>
  </si>
  <si>
    <t>C </t>
  </si>
  <si>
    <t>-I</t>
  </si>
  <si>
    <t> F. Agerer </t>
  </si>
  <si>
    <t>BAVM 183 </t>
  </si>
  <si>
    <t>2452928.4998 </t>
  </si>
  <si>
    <t> 15.10.2003 23:59 </t>
  </si>
  <si>
    <t>885</t>
  </si>
  <si>
    <t> 0.0022 </t>
  </si>
  <si>
    <t> G.Maintz </t>
  </si>
  <si>
    <t>2452931.4020 </t>
  </si>
  <si>
    <t> 18.10.2003 21:38 </t>
  </si>
  <si>
    <t>891</t>
  </si>
  <si>
    <t> 0.0006 </t>
  </si>
  <si>
    <t> K.Poschinger </t>
  </si>
  <si>
    <t>2452956.3260 </t>
  </si>
  <si>
    <t> 12.11.2003 19:49 </t>
  </si>
  <si>
    <t>942.5</t>
  </si>
  <si>
    <t> -0.0002 </t>
  </si>
  <si>
    <t>2452956.3322 </t>
  </si>
  <si>
    <t> 12.11.2003 19:58 </t>
  </si>
  <si>
    <t>2453224.4364 </t>
  </si>
  <si>
    <t> 06.08.2004 22:28 </t>
  </si>
  <si>
    <t>1496.5</t>
  </si>
  <si>
    <t> -0.0130 </t>
  </si>
  <si>
    <t>2453225.4113 </t>
  </si>
  <si>
    <t> 07.08.2004 21:52 </t>
  </si>
  <si>
    <t>1498.5</t>
  </si>
  <si>
    <t> -0.0061 </t>
  </si>
  <si>
    <t>2453252.2755 </t>
  </si>
  <si>
    <t> 03.09.2004 18:36 </t>
  </si>
  <si>
    <t>1554</t>
  </si>
  <si>
    <t> -0.0026 </t>
  </si>
  <si>
    <t>2453253.2595 </t>
  </si>
  <si>
    <t> 04.09.2004 18:13 </t>
  </si>
  <si>
    <t>1556</t>
  </si>
  <si>
    <t> 0.0134 </t>
  </si>
  <si>
    <t>2453287.3664 </t>
  </si>
  <si>
    <t> 08.10.2004 20:47 </t>
  </si>
  <si>
    <t>1626.5</t>
  </si>
  <si>
    <t> -0.0000 </t>
  </si>
  <si>
    <t>2453287.3698 </t>
  </si>
  <si>
    <t> 08.10.2004 20:52 </t>
  </si>
  <si>
    <t> 0.0034 </t>
  </si>
  <si>
    <t>2453287.6040 </t>
  </si>
  <si>
    <t> 09.10.2004 02:29 </t>
  </si>
  <si>
    <t>1627</t>
  </si>
  <si>
    <t> -0.0044 </t>
  </si>
  <si>
    <t>2453323.1891 </t>
  </si>
  <si>
    <t> 13.11.2004 16:32 </t>
  </si>
  <si>
    <t>1700.5</t>
  </si>
  <si>
    <t> 0.0084 </t>
  </si>
  <si>
    <t>2453614.5325 </t>
  </si>
  <si>
    <t> 01.09.2005 00:46 </t>
  </si>
  <si>
    <t>2302.5</t>
  </si>
  <si>
    <t> -0.0023 </t>
  </si>
  <si>
    <t>2453619.3748 </t>
  </si>
  <si>
    <t> 05.09.2005 20:59 </t>
  </si>
  <si>
    <t>2312.5</t>
  </si>
  <si>
    <t> 0.0002 </t>
  </si>
  <si>
    <t>2453619.610 </t>
  </si>
  <si>
    <t> 06.09.2005 02:38 </t>
  </si>
  <si>
    <t>2313</t>
  </si>
  <si>
    <t> -0.007 </t>
  </si>
  <si>
    <t>2454405.3557 </t>
  </si>
  <si>
    <t> 31.10.2007 20:32 </t>
  </si>
  <si>
    <t>3936.5</t>
  </si>
  <si>
    <t> 0.0026 </t>
  </si>
  <si>
    <t> F.Walter </t>
  </si>
  <si>
    <t>BAVM 193 </t>
  </si>
  <si>
    <t>2455119.7015 </t>
  </si>
  <si>
    <t> 15.10.2009 04:50 </t>
  </si>
  <si>
    <t>5412.5</t>
  </si>
  <si>
    <t> -0.0015 </t>
  </si>
  <si>
    <t> R.Diethelm </t>
  </si>
  <si>
    <t>IBVS 5920 </t>
  </si>
  <si>
    <t>2455363.8692 </t>
  </si>
  <si>
    <t> 16.06.2010 08:51 </t>
  </si>
  <si>
    <t>5917</t>
  </si>
  <si>
    <t> -0.0001 </t>
  </si>
  <si>
    <t>R</t>
  </si>
  <si>
    <t> R.Nelson </t>
  </si>
  <si>
    <t>IBVS 5966 </t>
  </si>
  <si>
    <t>2455848.330 </t>
  </si>
  <si>
    <t> 13.10.2011 19:55 </t>
  </si>
  <si>
    <t>6918</t>
  </si>
  <si>
    <t> -0.000 </t>
  </si>
  <si>
    <t> P.Frank </t>
  </si>
  <si>
    <t>BAVM 225 </t>
  </si>
  <si>
    <t>2455853.6542 </t>
  </si>
  <si>
    <t> 19.10.2011 03:42 </t>
  </si>
  <si>
    <t>6929</t>
  </si>
  <si>
    <t> 0.0003 </t>
  </si>
  <si>
    <t>IBVS 6011 </t>
  </si>
  <si>
    <t>2456223.6539 </t>
  </si>
  <si>
    <t> 23.10.2012 03:41 </t>
  </si>
  <si>
    <t>7693.5</t>
  </si>
  <si>
    <t> -0.0004 </t>
  </si>
  <si>
    <t>IBVS 6042 </t>
  </si>
  <si>
    <t>2456534.37 </t>
  </si>
  <si>
    <t> 29.08.2013 20:52 </t>
  </si>
  <si>
    <t>8335.5</t>
  </si>
  <si>
    <t> 0.00 </t>
  </si>
  <si>
    <t> F.Agerer </t>
  </si>
  <si>
    <t>BAVM 234 </t>
  </si>
  <si>
    <t>IBVS 6011</t>
  </si>
  <si>
    <t>IBVS 5966</t>
  </si>
  <si>
    <t>OEJV 0211</t>
  </si>
  <si>
    <t>RHN 2021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</si>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</sst>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"/>
    <numFmt numFmtId="177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176" fontId="0" fillId="0" borderId="0" xfId="0" applyNumberFormat="1" applyAlignment="1">
      <alignment horizontal="left"/>
    </xf>
    <xf numFmtId="0" fontId="7" fillId="0" borderId="5" xfId="0" applyFont="1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7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V1815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22-4179-857C-73DDB07CD0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22-4179-857C-73DDB07CD0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-4.4574721468961798E-3</c:v>
                </c:pt>
                <c:pt idx="23">
                  <c:v>-7.7299460608628578E-3</c:v>
                </c:pt>
                <c:pt idx="30">
                  <c:v>3.5763227715506218E-3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22-4179-857C-73DDB07CD0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3.1093593061086722E-3</c:v>
                </c:pt>
                <c:pt idx="1">
                  <c:v>1.2261401570867747E-4</c:v>
                </c:pt>
                <c:pt idx="2">
                  <c:v>-1.9014693243661895E-3</c:v>
                </c:pt>
                <c:pt idx="3">
                  <c:v>1.0102622036356479E-3</c:v>
                </c:pt>
                <c:pt idx="4">
                  <c:v>-1.8545432030805387E-3</c:v>
                </c:pt>
                <c:pt idx="5">
                  <c:v>1.4041144386283122E-3</c:v>
                </c:pt>
                <c:pt idx="6">
                  <c:v>7.7448927841032855E-3</c:v>
                </c:pt>
                <c:pt idx="9">
                  <c:v>5.6480662897229195E-4</c:v>
                </c:pt>
                <c:pt idx="10">
                  <c:v>-1.0944150199065916E-3</c:v>
                </c:pt>
                <c:pt idx="11">
                  <c:v>-1.8860675118048675E-3</c:v>
                </c:pt>
                <c:pt idx="12">
                  <c:v>4.3139324843650684E-3</c:v>
                </c:pt>
                <c:pt idx="13">
                  <c:v>-1.4487533197097946E-2</c:v>
                </c:pt>
                <c:pt idx="14">
                  <c:v>-7.5406070827739313E-3</c:v>
                </c:pt>
                <c:pt idx="15">
                  <c:v>-4.0384073363384232E-3</c:v>
                </c:pt>
                <c:pt idx="16">
                  <c:v>1.2008518773654941E-2</c:v>
                </c:pt>
                <c:pt idx="17">
                  <c:v>-1.4373356098076329E-3</c:v>
                </c:pt>
                <c:pt idx="18">
                  <c:v>1.9626643916126341E-3</c:v>
                </c:pt>
                <c:pt idx="19">
                  <c:v>-5.8256040865671821E-3</c:v>
                </c:pt>
                <c:pt idx="20">
                  <c:v>6.9989307085052133E-3</c:v>
                </c:pt>
                <c:pt idx="21">
                  <c:v>-3.4763081785058603E-3</c:v>
                </c:pt>
                <c:pt idx="22">
                  <c:v>-9.4167759380070493E-4</c:v>
                </c:pt>
                <c:pt idx="24">
                  <c:v>2.0623291493393481E-3</c:v>
                </c:pt>
                <c:pt idx="25">
                  <c:v>-1.5061967424117029E-3</c:v>
                </c:pt>
                <c:pt idx="26">
                  <c:v>3.0916184186935425E-5</c:v>
                </c:pt>
                <c:pt idx="27">
                  <c:v>3.17437581543345E-4</c:v>
                </c:pt>
                <c:pt idx="28">
                  <c:v>7.7553121809614822E-4</c:v>
                </c:pt>
                <c:pt idx="29">
                  <c:v>4.1303931357106194E-4</c:v>
                </c:pt>
                <c:pt idx="31">
                  <c:v>9.1276035527698696E-4</c:v>
                </c:pt>
                <c:pt idx="32">
                  <c:v>1.3174424457247369E-3</c:v>
                </c:pt>
                <c:pt idx="33">
                  <c:v>-3.24480768176727E-3</c:v>
                </c:pt>
                <c:pt idx="34">
                  <c:v>4.1341422402183525E-3</c:v>
                </c:pt>
                <c:pt idx="35">
                  <c:v>5.5418695337721147E-3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22-4179-857C-73DDB07CD0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22-4179-857C-73DDB07CD0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22-4179-857C-73DDB07CD0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22-4179-857C-73DDB07CD0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-8.9406366015353932E-4</c:v>
                </c:pt>
                <c:pt idx="1">
                  <c:v>-8.589327610431189E-4</c:v>
                </c:pt>
                <c:pt idx="2">
                  <c:v>-8.4493811129482009E-4</c:v>
                </c:pt>
                <c:pt idx="3">
                  <c:v>-8.4486597392498339E-4</c:v>
                </c:pt>
                <c:pt idx="4">
                  <c:v>-8.4464956181547375E-4</c:v>
                </c:pt>
                <c:pt idx="5">
                  <c:v>-8.4428887496629072E-4</c:v>
                </c:pt>
                <c:pt idx="6">
                  <c:v>-8.4342322652825171E-4</c:v>
                </c:pt>
                <c:pt idx="7">
                  <c:v>-5.4116764691293073E-4</c:v>
                </c:pt>
                <c:pt idx="8">
                  <c:v>-4.2899403681703009E-4</c:v>
                </c:pt>
                <c:pt idx="9">
                  <c:v>-4.134845023021628E-4</c:v>
                </c:pt>
                <c:pt idx="10">
                  <c:v>-4.1261885386412368E-4</c:v>
                </c:pt>
                <c:pt idx="11">
                  <c:v>-4.0518870477095466E-4</c:v>
                </c:pt>
                <c:pt idx="12">
                  <c:v>-4.0518870477095466E-4</c:v>
                </c:pt>
                <c:pt idx="13">
                  <c:v>-3.2526049899201059E-4</c:v>
                </c:pt>
                <c:pt idx="14">
                  <c:v>-3.2497194951266426E-4</c:v>
                </c:pt>
                <c:pt idx="15">
                  <c:v>-3.1696470146080257E-4</c:v>
                </c:pt>
                <c:pt idx="16">
                  <c:v>-3.1667615198145623E-4</c:v>
                </c:pt>
                <c:pt idx="17">
                  <c:v>-3.0650478283449669E-4</c:v>
                </c:pt>
                <c:pt idx="18">
                  <c:v>-3.0650478283449669E-4</c:v>
                </c:pt>
                <c:pt idx="19">
                  <c:v>-3.0643264546466011E-4</c:v>
                </c:pt>
                <c:pt idx="20">
                  <c:v>-2.9582845209868107E-4</c:v>
                </c:pt>
                <c:pt idx="21">
                  <c:v>-2.0897505881542418E-4</c:v>
                </c:pt>
                <c:pt idx="22">
                  <c:v>-2.0753231141869239E-4</c:v>
                </c:pt>
                <c:pt idx="23">
                  <c:v>-2.0746017404885581E-4</c:v>
                </c:pt>
                <c:pt idx="24">
                  <c:v>2.6769865810558719E-5</c:v>
                </c:pt>
                <c:pt idx="25">
                  <c:v>2.3971938156817856E-4</c:v>
                </c:pt>
                <c:pt idx="26">
                  <c:v>3.1250598773329997E-4</c:v>
                </c:pt>
                <c:pt idx="27">
                  <c:v>4.5692500214615734E-4</c:v>
                </c:pt>
                <c:pt idx="28">
                  <c:v>4.5851202428256235E-4</c:v>
                </c:pt>
                <c:pt idx="29">
                  <c:v>5.6881006276271158E-4</c:v>
                </c:pt>
                <c:pt idx="30">
                  <c:v>6.6143444563289584E-4</c:v>
                </c:pt>
                <c:pt idx="31">
                  <c:v>8.89172122207017E-4</c:v>
                </c:pt>
                <c:pt idx="32">
                  <c:v>9.6852322902726828E-4</c:v>
                </c:pt>
                <c:pt idx="33">
                  <c:v>1.0105071782721649E-3</c:v>
                </c:pt>
                <c:pt idx="34">
                  <c:v>1.4949817540947173E-3</c:v>
                </c:pt>
                <c:pt idx="35">
                  <c:v>1.5165508276758584E-3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22-4179-857C-73DDB07CD03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22-4179-857C-73DDB07C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8504"/>
        <c:axId val="1"/>
      </c:scatterChart>
      <c:valAx>
        <c:axId val="61322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812030075187971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0AE99A4-AF5E-A72E-E487-AA619808B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R55" TargetMode="External"/><Relationship Id="rId18" Type="http://schemas.openxmlformats.org/officeDocument/2006/relationships/hyperlink" Target="http://www.bav-astro.de/sfs/BAVM_link.php?BAVMnr=R55" TargetMode="External"/><Relationship Id="rId26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R55" TargetMode="External"/><Relationship Id="rId21" Type="http://schemas.openxmlformats.org/officeDocument/2006/relationships/hyperlink" Target="http://www.bav-astro.de/sfs/BAVM_link.php?BAVMnr=R55" TargetMode="External"/><Relationship Id="rId7" Type="http://schemas.openxmlformats.org/officeDocument/2006/relationships/hyperlink" Target="http://www.bav-astro.de/sfs/BAVM_link.php?BAVMnr=R55" TargetMode="External"/><Relationship Id="rId12" Type="http://schemas.openxmlformats.org/officeDocument/2006/relationships/hyperlink" Target="http://www.bav-astro.de/sfs/BAVM_link.php?BAVMnr=R55" TargetMode="External"/><Relationship Id="rId17" Type="http://schemas.openxmlformats.org/officeDocument/2006/relationships/hyperlink" Target="http://www.bav-astro.de/sfs/BAVM_link.php?BAVMnr=R55" TargetMode="External"/><Relationship Id="rId25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bav-astro.de/sfs/BAVM_link.php?BAVMnr=R55" TargetMode="External"/><Relationship Id="rId16" Type="http://schemas.openxmlformats.org/officeDocument/2006/relationships/hyperlink" Target="http://www.bav-astro.de/sfs/BAVM_link.php?BAVMnr=R55" TargetMode="External"/><Relationship Id="rId20" Type="http://schemas.openxmlformats.org/officeDocument/2006/relationships/hyperlink" Target="http://www.bav-astro.de/sfs/BAVM_link.php?BAVMnr=R55" TargetMode="External"/><Relationship Id="rId29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bav-astro.de/sfs/BAVM_link.php?BAVMnr=R55" TargetMode="External"/><Relationship Id="rId6" Type="http://schemas.openxmlformats.org/officeDocument/2006/relationships/hyperlink" Target="http://www.bav-astro.de/sfs/BAVM_link.php?BAVMnr=R55" TargetMode="External"/><Relationship Id="rId11" Type="http://schemas.openxmlformats.org/officeDocument/2006/relationships/hyperlink" Target="http://www.bav-astro.de/sfs/BAVM_link.php?BAVMnr=R55" TargetMode="External"/><Relationship Id="rId24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bav-astro.de/sfs/BAVM_link.php?BAVMnr=R55" TargetMode="External"/><Relationship Id="rId15" Type="http://schemas.openxmlformats.org/officeDocument/2006/relationships/hyperlink" Target="http://www.bav-astro.de/sfs/BAVM_link.php?BAVMnr=R55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R55" TargetMode="External"/><Relationship Id="rId19" Type="http://schemas.openxmlformats.org/officeDocument/2006/relationships/hyperlink" Target="http://www.bav-astro.de/sfs/BAVM_link.php?BAVMnr=R55" TargetMode="External"/><Relationship Id="rId4" Type="http://schemas.openxmlformats.org/officeDocument/2006/relationships/hyperlink" Target="http://www.bav-astro.de/sfs/BAVM_link.php?BAVMnr=R55" TargetMode="External"/><Relationship Id="rId9" Type="http://schemas.openxmlformats.org/officeDocument/2006/relationships/hyperlink" Target="http://www.bav-astro.de/sfs/BAVM_link.php?BAVMnr=R55" TargetMode="External"/><Relationship Id="rId14" Type="http://schemas.openxmlformats.org/officeDocument/2006/relationships/hyperlink" Target="http://www.bav-astro.de/sfs/BAVM_link.php?BAVMnr=R55" TargetMode="External"/><Relationship Id="rId22" Type="http://schemas.openxmlformats.org/officeDocument/2006/relationships/hyperlink" Target="http://www.bav-astro.de/sfs/BAVM_link.php?BAVMnr=R55" TargetMode="External"/><Relationship Id="rId27" Type="http://schemas.openxmlformats.org/officeDocument/2006/relationships/hyperlink" Target="http://www.bav-astro.de/sfs/BAVM_link.php?BAVMnr=225" TargetMode="External"/><Relationship Id="rId30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3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8" t="s">
        <v>35</v>
      </c>
      <c r="D4" s="9" t="s">
        <v>35</v>
      </c>
    </row>
    <row r="5" spans="1:6" ht="13.5" thickTop="1" x14ac:dyDescent="0.2">
      <c r="A5" s="11" t="s">
        <v>29</v>
      </c>
      <c r="B5" s="55"/>
      <c r="C5" s="13">
        <v>-9.5</v>
      </c>
      <c r="D5" s="12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>
        <v>55363.869169083817</v>
      </c>
      <c r="D7" s="28"/>
    </row>
    <row r="8" spans="1:6" x14ac:dyDescent="0.2">
      <c r="A8" t="s">
        <v>4</v>
      </c>
      <c r="C8">
        <v>0.48397653694166293</v>
      </c>
      <c r="D8" s="30" t="s">
        <v>43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55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55"/>
      <c r="C11" s="23">
        <f ca="1">INTERCEPT(INDIRECT($D$9):G992,INDIRECT($C$9):F992)</f>
        <v>3.1250598773329997E-4</v>
      </c>
      <c r="D11" s="3"/>
      <c r="E11" s="12"/>
    </row>
    <row r="12" spans="1:6" x14ac:dyDescent="0.2">
      <c r="A12" s="12" t="s">
        <v>17</v>
      </c>
      <c r="B12" s="55"/>
      <c r="C12" s="23">
        <f ca="1">SLOPE(INDIRECT($D$9):G992,INDIRECT($C$9):F992)</f>
        <v>1.4427473967318417E-7</v>
      </c>
      <c r="D12" s="3"/>
      <c r="E12" s="12"/>
    </row>
    <row r="13" spans="1:6" x14ac:dyDescent="0.2">
      <c r="A13" s="12" t="s">
        <v>19</v>
      </c>
      <c r="B13" s="55"/>
      <c r="C13" s="3" t="s">
        <v>14</v>
      </c>
    </row>
    <row r="14" spans="1:6" x14ac:dyDescent="0.2">
      <c r="A14" s="12"/>
      <c r="B14" s="55"/>
      <c r="C14" s="12"/>
    </row>
    <row r="15" spans="1:6" x14ac:dyDescent="0.2">
      <c r="A15" s="14" t="s">
        <v>18</v>
      </c>
      <c r="B15" s="55"/>
      <c r="C15" s="15">
        <f ca="1">(C7+C11)+(C8+C12)*INT(MAX(F21:F3533))</f>
        <v>59402.654886340686</v>
      </c>
      <c r="E15" s="16" t="s">
        <v>46</v>
      </c>
      <c r="F15" s="13">
        <v>1</v>
      </c>
    </row>
    <row r="16" spans="1:6" x14ac:dyDescent="0.2">
      <c r="A16" s="18" t="s">
        <v>5</v>
      </c>
      <c r="B16" s="55"/>
      <c r="C16" s="19">
        <f ca="1">+C8+C12</f>
        <v>0.48397668121640258</v>
      </c>
      <c r="E16" s="16" t="s">
        <v>31</v>
      </c>
      <c r="F16" s="17">
        <f ca="1">NOW()+15018.5+$C$5/24</f>
        <v>59957.746492129627</v>
      </c>
    </row>
    <row r="17" spans="1:21" ht="13.5" thickBot="1" x14ac:dyDescent="0.25">
      <c r="A17" s="16" t="s">
        <v>28</v>
      </c>
      <c r="B17" s="55"/>
      <c r="C17" s="12">
        <f>COUNT(C21:C2191)</f>
        <v>36</v>
      </c>
      <c r="E17" s="16" t="s">
        <v>47</v>
      </c>
      <c r="F17" s="17">
        <f ca="1">ROUND(2*(F16-$C$7)/$C$8,0)/2+F15</f>
        <v>9493</v>
      </c>
    </row>
    <row r="18" spans="1:21" ht="14.25" thickTop="1" thickBot="1" x14ac:dyDescent="0.25">
      <c r="A18" s="18" t="s">
        <v>6</v>
      </c>
      <c r="B18" s="55"/>
      <c r="C18" s="21">
        <f ca="1">+C15</f>
        <v>59402.654886340686</v>
      </c>
      <c r="D18" s="22">
        <f ca="1">+C16</f>
        <v>0.48397668121640258</v>
      </c>
      <c r="E18" s="16" t="s">
        <v>32</v>
      </c>
      <c r="F18" s="25">
        <f ca="1">ROUND(2*(F16-$C$15)/$C$16,0)/2+F15</f>
        <v>1148</v>
      </c>
    </row>
    <row r="19" spans="1:21" ht="13.5" thickTop="1" x14ac:dyDescent="0.2">
      <c r="E19" s="16" t="s">
        <v>33</v>
      </c>
      <c r="F19" s="20">
        <f ca="1">+$C$15+$C$16*F18-15018.5-$C$5/24</f>
        <v>44940.155949710454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7" t="s">
        <v>45</v>
      </c>
    </row>
    <row r="21" spans="1:21" x14ac:dyDescent="0.2">
      <c r="A21" s="53" t="s">
        <v>66</v>
      </c>
      <c r="B21" s="56" t="s">
        <v>37</v>
      </c>
      <c r="C21" s="54">
        <v>51316.376499999998</v>
      </c>
      <c r="D21" s="54" t="s">
        <v>59</v>
      </c>
      <c r="E21">
        <f>+(C21-C$7)/C$8</f>
        <v>-8362.9935753924601</v>
      </c>
      <c r="F21">
        <f>ROUND(2*E21,0)/2</f>
        <v>-8363</v>
      </c>
      <c r="G21">
        <f>+C21-(C$7+F21*C$8)</f>
        <v>3.1093593061086722E-3</v>
      </c>
      <c r="K21">
        <f>+G21</f>
        <v>3.1093593061086722E-3</v>
      </c>
      <c r="O21">
        <f ca="1">+C$11+C$12*$F21</f>
        <v>-8.9406366015353932E-4</v>
      </c>
      <c r="Q21" s="2">
        <f>+C21-15018.5</f>
        <v>36297.876499999998</v>
      </c>
    </row>
    <row r="22" spans="1:21" x14ac:dyDescent="0.2">
      <c r="A22" s="53" t="s">
        <v>66</v>
      </c>
      <c r="B22" s="56" t="s">
        <v>36</v>
      </c>
      <c r="C22" s="54">
        <v>51434.221799999999</v>
      </c>
      <c r="D22" s="54" t="s">
        <v>59</v>
      </c>
      <c r="E22">
        <f>+(C22-C$7)/C$8</f>
        <v>-8119.4997466529776</v>
      </c>
      <c r="F22">
        <f>ROUND(2*E22,0)/2</f>
        <v>-8119.5</v>
      </c>
      <c r="G22">
        <f>+C22-(C$7+F22*C$8)</f>
        <v>1.2261401570867747E-4</v>
      </c>
      <c r="K22">
        <f>+G22</f>
        <v>1.2261401570867747E-4</v>
      </c>
      <c r="O22">
        <f ca="1">+C$11+C$12*$F22</f>
        <v>-8.589327610431189E-4</v>
      </c>
      <c r="Q22" s="2">
        <f>+C22-15018.5</f>
        <v>36415.721799999999</v>
      </c>
    </row>
    <row r="23" spans="1:21" x14ac:dyDescent="0.2">
      <c r="A23" s="53" t="s">
        <v>66</v>
      </c>
      <c r="B23" s="56" t="s">
        <v>36</v>
      </c>
      <c r="C23" s="54">
        <v>51481.165500000003</v>
      </c>
      <c r="D23" s="54" t="s">
        <v>59</v>
      </c>
      <c r="E23">
        <f>+(C23-C$7)/C$8</f>
        <v>-8022.5039288460866</v>
      </c>
      <c r="F23">
        <f>ROUND(2*E23,0)/2</f>
        <v>-8022.5</v>
      </c>
      <c r="G23">
        <f>+C23-(C$7+F23*C$8)</f>
        <v>-1.9014693243661895E-3</v>
      </c>
      <c r="K23">
        <f>+G23</f>
        <v>-1.9014693243661895E-3</v>
      </c>
      <c r="O23">
        <f ca="1">+C$11+C$12*$F23</f>
        <v>-8.4493811129482009E-4</v>
      </c>
      <c r="Q23" s="2">
        <f>+C23-15018.5</f>
        <v>36462.665500000003</v>
      </c>
    </row>
    <row r="24" spans="1:21" x14ac:dyDescent="0.2">
      <c r="A24" s="53" t="s">
        <v>66</v>
      </c>
      <c r="B24" s="56" t="s">
        <v>37</v>
      </c>
      <c r="C24" s="54">
        <v>51481.410400000001</v>
      </c>
      <c r="D24" s="54" t="s">
        <v>59</v>
      </c>
      <c r="E24">
        <f>+(C24-C$7)/C$8</f>
        <v>-8021.9979125802047</v>
      </c>
      <c r="F24">
        <f>ROUND(2*E24,0)/2</f>
        <v>-8022</v>
      </c>
      <c r="G24">
        <f>+C24-(C$7+F24*C$8)</f>
        <v>1.0102622036356479E-3</v>
      </c>
      <c r="K24">
        <f>+G24</f>
        <v>1.0102622036356479E-3</v>
      </c>
      <c r="O24">
        <f ca="1">+C$11+C$12*$F24</f>
        <v>-8.4486597392498339E-4</v>
      </c>
      <c r="Q24" s="2">
        <f>+C24-15018.5</f>
        <v>36462.910400000001</v>
      </c>
    </row>
    <row r="25" spans="1:21" x14ac:dyDescent="0.2">
      <c r="A25" s="53" t="s">
        <v>66</v>
      </c>
      <c r="B25" s="56" t="s">
        <v>36</v>
      </c>
      <c r="C25" s="54">
        <v>51482.133500000004</v>
      </c>
      <c r="D25" s="54" t="s">
        <v>59</v>
      </c>
      <c r="E25">
        <f>+(C25-C$7)/C$8</f>
        <v>-8020.5038318865982</v>
      </c>
      <c r="F25">
        <f>ROUND(2*E25,0)/2</f>
        <v>-8020.5</v>
      </c>
      <c r="G25">
        <f>+C25-(C$7+F25*C$8)</f>
        <v>-1.8545432030805387E-3</v>
      </c>
      <c r="K25">
        <f>+G25</f>
        <v>-1.8545432030805387E-3</v>
      </c>
      <c r="O25">
        <f ca="1">+C$11+C$12*$F25</f>
        <v>-8.4464956181547375E-4</v>
      </c>
      <c r="Q25" s="2">
        <f>+C25-15018.5</f>
        <v>36463.633500000004</v>
      </c>
    </row>
    <row r="26" spans="1:21" x14ac:dyDescent="0.2">
      <c r="A26" s="53" t="s">
        <v>66</v>
      </c>
      <c r="B26" s="56" t="s">
        <v>37</v>
      </c>
      <c r="C26" s="54">
        <v>51483.346700000002</v>
      </c>
      <c r="D26" s="54" t="s">
        <v>59</v>
      </c>
      <c r="E26">
        <f>+(C26-C$7)/C$8</f>
        <v>-8017.997098796468</v>
      </c>
      <c r="F26">
        <f>ROUND(2*E26,0)/2</f>
        <v>-8018</v>
      </c>
      <c r="G26">
        <f>+C26-(C$7+F26*C$8)</f>
        <v>1.4041144386283122E-3</v>
      </c>
      <c r="K26">
        <f>+G26</f>
        <v>1.4041144386283122E-3</v>
      </c>
      <c r="O26">
        <f ca="1">+C$11+C$12*$F26</f>
        <v>-8.4428887496629072E-4</v>
      </c>
      <c r="Q26" s="2">
        <f>+C26-15018.5</f>
        <v>36464.846700000002</v>
      </c>
    </row>
    <row r="27" spans="1:21" x14ac:dyDescent="0.2">
      <c r="A27" s="53" t="s">
        <v>66</v>
      </c>
      <c r="B27" s="56" t="s">
        <v>37</v>
      </c>
      <c r="C27" s="54">
        <v>51486.2569</v>
      </c>
      <c r="D27" s="54" t="s">
        <v>59</v>
      </c>
      <c r="E27">
        <f>+(C27-C$7)/C$8</f>
        <v>-8011.9839973796334</v>
      </c>
      <c r="F27">
        <f>ROUND(2*E27,0)/2</f>
        <v>-8012</v>
      </c>
      <c r="G27">
        <f>+C27-(C$7+F27*C$8)</f>
        <v>7.7448927841032855E-3</v>
      </c>
      <c r="K27">
        <f>+G27</f>
        <v>7.7448927841032855E-3</v>
      </c>
      <c r="O27">
        <f ca="1">+C$11+C$12*$F27</f>
        <v>-8.4342322652825171E-4</v>
      </c>
      <c r="Q27" s="2">
        <f>+C27-15018.5</f>
        <v>36467.7569</v>
      </c>
    </row>
    <row r="28" spans="1:21" x14ac:dyDescent="0.2">
      <c r="A28" t="s">
        <v>41</v>
      </c>
      <c r="C28" s="10">
        <v>52500.18</v>
      </c>
      <c r="D28" s="10" t="s">
        <v>14</v>
      </c>
      <c r="E28">
        <f>+(C28-C$7)/C$8</f>
        <v>-5916.9999999999936</v>
      </c>
      <c r="F28">
        <f>ROUND(2*E28,0)/2</f>
        <v>-5917</v>
      </c>
      <c r="G28">
        <f>+C28-(C$7+F28*C$8)</f>
        <v>0</v>
      </c>
      <c r="I28">
        <f>+G28</f>
        <v>0</v>
      </c>
      <c r="O28">
        <f ca="1">+C$11+C$12*$F28</f>
        <v>-5.4116764691293073E-4</v>
      </c>
      <c r="Q28" s="2">
        <f>+C28-15018.5</f>
        <v>37481.68</v>
      </c>
    </row>
    <row r="29" spans="1:21" x14ac:dyDescent="0.2">
      <c r="A29" t="s">
        <v>38</v>
      </c>
      <c r="B29" s="3" t="s">
        <v>36</v>
      </c>
      <c r="C29" s="10">
        <v>52876.467299999997</v>
      </c>
      <c r="D29" s="10">
        <v>1.4E-3</v>
      </c>
      <c r="E29">
        <f>+(C29-C$7)/C$8</f>
        <v>-5139.5092100996708</v>
      </c>
      <c r="F29">
        <f>ROUND(2*E29,0)/2</f>
        <v>-5139.5</v>
      </c>
      <c r="G29">
        <f>+C29-(C$7+F29*C$8)</f>
        <v>-4.4574721468961798E-3</v>
      </c>
      <c r="J29">
        <f>+G29</f>
        <v>-4.4574721468961798E-3</v>
      </c>
      <c r="O29">
        <f ca="1">+C$11+C$12*$F29</f>
        <v>-4.2899403681703009E-4</v>
      </c>
      <c r="Q29" s="2">
        <f>+C29-15018.5</f>
        <v>37857.967299999997</v>
      </c>
    </row>
    <row r="30" spans="1:21" x14ac:dyDescent="0.2">
      <c r="A30" s="53" t="s">
        <v>66</v>
      </c>
      <c r="B30" s="56" t="s">
        <v>37</v>
      </c>
      <c r="C30" s="54">
        <v>52928.499799999998</v>
      </c>
      <c r="D30" s="54" t="s">
        <v>59</v>
      </c>
      <c r="E30">
        <f>+(C30-C$7)/C$8</f>
        <v>-5031.9988329875814</v>
      </c>
      <c r="F30">
        <f>ROUND(2*E30,0)/2</f>
        <v>-5032</v>
      </c>
      <c r="G30">
        <f>+C30-(C$7+F30*C$8)</f>
        <v>5.6480662897229195E-4</v>
      </c>
      <c r="K30">
        <f>+G30</f>
        <v>5.6480662897229195E-4</v>
      </c>
      <c r="O30">
        <f ca="1">+C$11+C$12*$F30</f>
        <v>-4.134845023021628E-4</v>
      </c>
      <c r="Q30" s="2">
        <f>+C30-15018.5</f>
        <v>37909.999799999998</v>
      </c>
    </row>
    <row r="31" spans="1:21" x14ac:dyDescent="0.2">
      <c r="A31" s="53" t="s">
        <v>66</v>
      </c>
      <c r="B31" s="56" t="s">
        <v>37</v>
      </c>
      <c r="C31" s="54">
        <v>52931.402000000002</v>
      </c>
      <c r="D31" s="54" t="s">
        <v>59</v>
      </c>
      <c r="E31">
        <f>+(C31-C$7)/C$8</f>
        <v>-5026.0022612976736</v>
      </c>
      <c r="F31">
        <f>ROUND(2*E31,0)/2</f>
        <v>-5026</v>
      </c>
      <c r="G31">
        <f>+C31-(C$7+F31*C$8)</f>
        <v>-1.0944150199065916E-3</v>
      </c>
      <c r="K31">
        <f>+G31</f>
        <v>-1.0944150199065916E-3</v>
      </c>
      <c r="O31">
        <f ca="1">+C$11+C$12*$F31</f>
        <v>-4.1261885386412368E-4</v>
      </c>
      <c r="Q31" s="2">
        <f>+C31-15018.5</f>
        <v>37912.902000000002</v>
      </c>
    </row>
    <row r="32" spans="1:21" x14ac:dyDescent="0.2">
      <c r="A32" s="53" t="s">
        <v>66</v>
      </c>
      <c r="B32" s="56" t="s">
        <v>36</v>
      </c>
      <c r="C32" s="54">
        <v>52956.326000000001</v>
      </c>
      <c r="D32" s="54" t="s">
        <v>59</v>
      </c>
      <c r="E32">
        <f>+(C32-C$7)/C$8</f>
        <v>-4974.5038970226233</v>
      </c>
      <c r="F32">
        <f>ROUND(2*E32,0)/2</f>
        <v>-4974.5</v>
      </c>
      <c r="G32">
        <f>+C32-(C$7+F32*C$8)</f>
        <v>-1.8860675118048675E-3</v>
      </c>
      <c r="K32">
        <f>+G32</f>
        <v>-1.8860675118048675E-3</v>
      </c>
      <c r="O32">
        <f ca="1">+C$11+C$12*$F32</f>
        <v>-4.0518870477095466E-4</v>
      </c>
      <c r="Q32" s="2">
        <f>+C32-15018.5</f>
        <v>37937.826000000001</v>
      </c>
    </row>
    <row r="33" spans="1:17" x14ac:dyDescent="0.2">
      <c r="A33" s="53" t="s">
        <v>66</v>
      </c>
      <c r="B33" s="56" t="s">
        <v>36</v>
      </c>
      <c r="C33" s="54">
        <v>52956.332199999997</v>
      </c>
      <c r="D33" s="54" t="s">
        <v>59</v>
      </c>
      <c r="E33">
        <f>+(C33-C$7)/C$8</f>
        <v>-4974.4910864842541</v>
      </c>
      <c r="F33">
        <f>ROUND(2*E33,0)/2</f>
        <v>-4974.5</v>
      </c>
      <c r="G33">
        <f>+C33-(C$7+F33*C$8)</f>
        <v>4.3139324843650684E-3</v>
      </c>
      <c r="K33">
        <f>+G33</f>
        <v>4.3139324843650684E-3</v>
      </c>
      <c r="O33">
        <f ca="1">+C$11+C$12*$F33</f>
        <v>-4.0518870477095466E-4</v>
      </c>
      <c r="Q33" s="2">
        <f>+C33-15018.5</f>
        <v>37937.832199999997</v>
      </c>
    </row>
    <row r="34" spans="1:17" x14ac:dyDescent="0.2">
      <c r="A34" s="53" t="s">
        <v>66</v>
      </c>
      <c r="B34" s="56" t="s">
        <v>36</v>
      </c>
      <c r="C34" s="54">
        <v>53224.436399999999</v>
      </c>
      <c r="D34" s="54" t="s">
        <v>59</v>
      </c>
      <c r="E34">
        <f>+(C34-C$7)/C$8</f>
        <v>-4420.5299343709694</v>
      </c>
      <c r="F34">
        <f>ROUND(2*E34,0)/2</f>
        <v>-4420.5</v>
      </c>
      <c r="G34">
        <f>+C34-(C$7+F34*C$8)</f>
        <v>-1.4487533197097946E-2</v>
      </c>
      <c r="K34">
        <f>+G34</f>
        <v>-1.4487533197097946E-2</v>
      </c>
      <c r="O34">
        <f ca="1">+C$11+C$12*$F34</f>
        <v>-3.2526049899201059E-4</v>
      </c>
      <c r="Q34" s="2">
        <f>+C34-15018.5</f>
        <v>38205.936399999999</v>
      </c>
    </row>
    <row r="35" spans="1:17" x14ac:dyDescent="0.2">
      <c r="A35" s="53" t="s">
        <v>66</v>
      </c>
      <c r="B35" s="56" t="s">
        <v>36</v>
      </c>
      <c r="C35" s="54">
        <v>53225.4113</v>
      </c>
      <c r="D35" s="54" t="s">
        <v>59</v>
      </c>
      <c r="E35">
        <f>+(C35-C$7)/C$8</f>
        <v>-4418.5155805219965</v>
      </c>
      <c r="F35">
        <f>ROUND(2*E35,0)/2</f>
        <v>-4418.5</v>
      </c>
      <c r="G35">
        <f>+C35-(C$7+F35*C$8)</f>
        <v>-7.5406070827739313E-3</v>
      </c>
      <c r="K35">
        <f>+G35</f>
        <v>-7.5406070827739313E-3</v>
      </c>
      <c r="O35">
        <f ca="1">+C$11+C$12*$F35</f>
        <v>-3.2497194951266426E-4</v>
      </c>
      <c r="Q35" s="2">
        <f>+C35-15018.5</f>
        <v>38206.9113</v>
      </c>
    </row>
    <row r="36" spans="1:17" x14ac:dyDescent="0.2">
      <c r="A36" s="53" t="s">
        <v>66</v>
      </c>
      <c r="B36" s="56" t="s">
        <v>37</v>
      </c>
      <c r="C36" s="54">
        <v>53252.275500000003</v>
      </c>
      <c r="D36" s="54" t="s">
        <v>59</v>
      </c>
      <c r="E36">
        <f>+(C36-C$7)/C$8</f>
        <v>-4363.0083442213199</v>
      </c>
      <c r="F36">
        <f>ROUND(2*E36,0)/2</f>
        <v>-4363</v>
      </c>
      <c r="G36">
        <f>+C36-(C$7+F36*C$8)</f>
        <v>-4.0384073363384232E-3</v>
      </c>
      <c r="K36">
        <f>+G36</f>
        <v>-4.0384073363384232E-3</v>
      </c>
      <c r="O36">
        <f ca="1">+C$11+C$12*$F36</f>
        <v>-3.1696470146080257E-4</v>
      </c>
      <c r="Q36" s="2">
        <f>+C36-15018.5</f>
        <v>38233.775500000003</v>
      </c>
    </row>
    <row r="37" spans="1:17" x14ac:dyDescent="0.2">
      <c r="A37" s="53" t="s">
        <v>66</v>
      </c>
      <c r="B37" s="56" t="s">
        <v>37</v>
      </c>
      <c r="C37" s="54">
        <v>53253.2595</v>
      </c>
      <c r="D37" s="54" t="s">
        <v>59</v>
      </c>
      <c r="E37">
        <f>+(C37-C$7)/C$8</f>
        <v>-4360.9751878079642</v>
      </c>
      <c r="F37">
        <f>ROUND(2*E37,0)/2</f>
        <v>-4361</v>
      </c>
      <c r="G37">
        <f>+C37-(C$7+F37*C$8)</f>
        <v>1.2008518773654941E-2</v>
      </c>
      <c r="K37">
        <f>+G37</f>
        <v>1.2008518773654941E-2</v>
      </c>
      <c r="O37">
        <f ca="1">+C$11+C$12*$F37</f>
        <v>-3.1667615198145623E-4</v>
      </c>
      <c r="Q37" s="2">
        <f>+C37-15018.5</f>
        <v>38234.7595</v>
      </c>
    </row>
    <row r="38" spans="1:17" x14ac:dyDescent="0.2">
      <c r="A38" s="53" t="s">
        <v>66</v>
      </c>
      <c r="B38" s="56" t="s">
        <v>36</v>
      </c>
      <c r="C38" s="54">
        <v>53287.366399999999</v>
      </c>
      <c r="D38" s="54" t="s">
        <v>59</v>
      </c>
      <c r="E38">
        <f>+(C38-C$7)/C$8</f>
        <v>-4290.5029698456501</v>
      </c>
      <c r="F38">
        <f>ROUND(2*E38,0)/2</f>
        <v>-4290.5</v>
      </c>
      <c r="G38">
        <f>+C38-(C$7+F38*C$8)</f>
        <v>-1.4373356098076329E-3</v>
      </c>
      <c r="K38">
        <f>+G38</f>
        <v>-1.4373356098076329E-3</v>
      </c>
      <c r="O38">
        <f ca="1">+C$11+C$12*$F38</f>
        <v>-3.0650478283449669E-4</v>
      </c>
      <c r="Q38" s="2">
        <f>+C38-15018.5</f>
        <v>38268.866399999999</v>
      </c>
    </row>
    <row r="39" spans="1:17" x14ac:dyDescent="0.2">
      <c r="A39" s="53" t="s">
        <v>66</v>
      </c>
      <c r="B39" s="56" t="s">
        <v>36</v>
      </c>
      <c r="C39" s="54">
        <v>53287.3698</v>
      </c>
      <c r="D39" s="54" t="s">
        <v>59</v>
      </c>
      <c r="E39">
        <f>+(C39-C$7)/C$8</f>
        <v>-4290.4959447116989</v>
      </c>
      <c r="F39">
        <f>ROUND(2*E39,0)/2</f>
        <v>-4290.5</v>
      </c>
      <c r="G39">
        <f>+C39-(C$7+F39*C$8)</f>
        <v>1.9626643916126341E-3</v>
      </c>
      <c r="K39">
        <f>+G39</f>
        <v>1.9626643916126341E-3</v>
      </c>
      <c r="O39">
        <f ca="1">+C$11+C$12*$F39</f>
        <v>-3.0650478283449669E-4</v>
      </c>
      <c r="Q39" s="2">
        <f>+C39-15018.5</f>
        <v>38268.8698</v>
      </c>
    </row>
    <row r="40" spans="1:17" x14ac:dyDescent="0.2">
      <c r="A40" s="53" t="s">
        <v>66</v>
      </c>
      <c r="B40" s="56" t="s">
        <v>37</v>
      </c>
      <c r="C40" s="54">
        <v>53287.603999999999</v>
      </c>
      <c r="D40" s="54" t="s">
        <v>59</v>
      </c>
      <c r="E40">
        <f>+(C40-C$7)/C$8</f>
        <v>-4290.0120369555934</v>
      </c>
      <c r="F40">
        <f>ROUND(2*E40,0)/2</f>
        <v>-4290</v>
      </c>
      <c r="G40">
        <f>+C40-(C$7+F40*C$8)</f>
        <v>-5.8256040865671821E-3</v>
      </c>
      <c r="K40">
        <f>+G40</f>
        <v>-5.8256040865671821E-3</v>
      </c>
      <c r="O40">
        <f ca="1">+C$11+C$12*$F40</f>
        <v>-3.0643264546466011E-4</v>
      </c>
      <c r="Q40" s="2">
        <f>+C40-15018.5</f>
        <v>38269.103999999999</v>
      </c>
    </row>
    <row r="41" spans="1:17" x14ac:dyDescent="0.2">
      <c r="A41" s="53" t="s">
        <v>66</v>
      </c>
      <c r="B41" s="56" t="s">
        <v>36</v>
      </c>
      <c r="C41" s="54">
        <v>53323.189100000003</v>
      </c>
      <c r="D41" s="54" t="s">
        <v>59</v>
      </c>
      <c r="E41">
        <f>+(C41-C$7)/C$8</f>
        <v>-4216.4855386983172</v>
      </c>
      <c r="F41">
        <f>ROUND(2*E41,0)/2</f>
        <v>-4216.5</v>
      </c>
      <c r="G41">
        <f>+C41-(C$7+F41*C$8)</f>
        <v>6.9989307085052133E-3</v>
      </c>
      <c r="K41">
        <f>+G41</f>
        <v>6.9989307085052133E-3</v>
      </c>
      <c r="O41">
        <f ca="1">+C$11+C$12*$F41</f>
        <v>-2.9582845209868107E-4</v>
      </c>
      <c r="Q41" s="2">
        <f>+C41-15018.5</f>
        <v>38304.689100000003</v>
      </c>
    </row>
    <row r="42" spans="1:17" x14ac:dyDescent="0.2">
      <c r="A42" s="53" t="s">
        <v>66</v>
      </c>
      <c r="B42" s="56" t="s">
        <v>36</v>
      </c>
      <c r="C42" s="54">
        <v>53614.532500000001</v>
      </c>
      <c r="D42" s="54" t="s">
        <v>59</v>
      </c>
      <c r="E42">
        <f>+(C42-C$7)/C$8</f>
        <v>-3614.5071828031105</v>
      </c>
      <c r="F42">
        <f>ROUND(2*E42,0)/2</f>
        <v>-3614.5</v>
      </c>
      <c r="G42">
        <f>+C42-(C$7+F42*C$8)</f>
        <v>-3.4763081785058603E-3</v>
      </c>
      <c r="K42">
        <f>+G42</f>
        <v>-3.4763081785058603E-3</v>
      </c>
      <c r="O42">
        <f ca="1">+C$11+C$12*$F42</f>
        <v>-2.0897505881542418E-4</v>
      </c>
      <c r="Q42" s="2">
        <f>+C42-15018.5</f>
        <v>38596.032500000001</v>
      </c>
    </row>
    <row r="43" spans="1:17" x14ac:dyDescent="0.2">
      <c r="A43" s="53" t="s">
        <v>66</v>
      </c>
      <c r="B43" s="56" t="s">
        <v>36</v>
      </c>
      <c r="C43" s="54">
        <v>53619.374799999998</v>
      </c>
      <c r="D43" s="54" t="s">
        <v>59</v>
      </c>
      <c r="E43">
        <f>+(C43-C$7)/C$8</f>
        <v>-3604.5019457091885</v>
      </c>
      <c r="F43">
        <f>ROUND(2*E43,0)/2</f>
        <v>-3604.5</v>
      </c>
      <c r="G43">
        <f>+C43-(C$7+F43*C$8)</f>
        <v>-9.4167759380070493E-4</v>
      </c>
      <c r="K43">
        <f>+G43</f>
        <v>-9.4167759380070493E-4</v>
      </c>
      <c r="O43">
        <f ca="1">+C$11+C$12*$F43</f>
        <v>-2.0753231141869239E-4</v>
      </c>
      <c r="Q43" s="2">
        <f>+C43-15018.5</f>
        <v>38600.874799999998</v>
      </c>
    </row>
    <row r="44" spans="1:17" x14ac:dyDescent="0.2">
      <c r="A44" t="s">
        <v>38</v>
      </c>
      <c r="B44" s="3" t="s">
        <v>37</v>
      </c>
      <c r="C44" s="29">
        <v>53619.61</v>
      </c>
      <c r="D44" s="10">
        <v>6.0000000000000001E-3</v>
      </c>
      <c r="E44">
        <f>+(C44-C$7)/C$8</f>
        <v>-3604.0159717372085</v>
      </c>
      <c r="F44">
        <f>ROUND(2*E44,0)/2</f>
        <v>-3604</v>
      </c>
      <c r="G44">
        <f>+C44-(C$7+F44*C$8)</f>
        <v>-7.7299460608628578E-3</v>
      </c>
      <c r="J44">
        <f>+G44</f>
        <v>-7.7299460608628578E-3</v>
      </c>
      <c r="O44">
        <f ca="1">+C$11+C$12*$F44</f>
        <v>-2.0746017404885581E-4</v>
      </c>
      <c r="Q44" s="2">
        <f>+C44-15018.5</f>
        <v>38601.11</v>
      </c>
    </row>
    <row r="45" spans="1:17" x14ac:dyDescent="0.2">
      <c r="A45" s="53" t="s">
        <v>155</v>
      </c>
      <c r="B45" s="56" t="s">
        <v>36</v>
      </c>
      <c r="C45" s="54">
        <v>54405.3557</v>
      </c>
      <c r="D45" s="54" t="s">
        <v>59</v>
      </c>
      <c r="E45">
        <f>+(C45-C$7)/C$8</f>
        <v>-1980.4957387827938</v>
      </c>
      <c r="F45">
        <f>ROUND(2*E45,0)/2</f>
        <v>-1980.5</v>
      </c>
      <c r="G45">
        <f>+C45-(C$7+F45*C$8)</f>
        <v>2.0623291493393481E-3</v>
      </c>
      <c r="K45">
        <f>+G45</f>
        <v>2.0623291493393481E-3</v>
      </c>
      <c r="O45">
        <f ca="1">+C$11+C$12*$F45</f>
        <v>2.6769865810558719E-5</v>
      </c>
      <c r="Q45" s="2">
        <f>+C45-15018.5</f>
        <v>39386.8557</v>
      </c>
    </row>
    <row r="46" spans="1:17" x14ac:dyDescent="0.2">
      <c r="A46" s="31" t="s">
        <v>42</v>
      </c>
      <c r="B46" s="32" t="s">
        <v>36</v>
      </c>
      <c r="C46" s="31">
        <v>55119.701500000003</v>
      </c>
      <c r="D46" s="31">
        <v>5.0000000000000001E-4</v>
      </c>
      <c r="E46">
        <f>+(C46-C$7)/C$8</f>
        <v>-504.50311212761375</v>
      </c>
      <c r="F46">
        <f>ROUND(2*E46,0)/2</f>
        <v>-504.5</v>
      </c>
      <c r="G46">
        <f>+C46-(C$7+F46*C$8)</f>
        <v>-1.5061967424117029E-3</v>
      </c>
      <c r="K46">
        <f>+G46</f>
        <v>-1.5061967424117029E-3</v>
      </c>
      <c r="O46">
        <f ca="1">+C$11+C$12*$F46</f>
        <v>2.3971938156817856E-4</v>
      </c>
      <c r="Q46" s="2">
        <f>+C46-15018.5</f>
        <v>40101.201500000003</v>
      </c>
    </row>
    <row r="47" spans="1:17" x14ac:dyDescent="0.2">
      <c r="A47" s="5" t="s">
        <v>192</v>
      </c>
      <c r="C47" s="10">
        <v>55363.869200000001</v>
      </c>
      <c r="D47" s="10">
        <v>2.9999999999999997E-4</v>
      </c>
      <c r="E47">
        <f>+(C47-C$7)/C$8</f>
        <v>6.3879510321513728E-5</v>
      </c>
      <c r="F47">
        <f>ROUND(2*E47,0)/2</f>
        <v>0</v>
      </c>
      <c r="G47">
        <f>+C47-(C$7+F47*C$8)</f>
        <v>3.0916184186935425E-5</v>
      </c>
      <c r="K47">
        <f>+G47</f>
        <v>3.0916184186935425E-5</v>
      </c>
      <c r="O47">
        <f ca="1">+C$11+C$12*$F47</f>
        <v>3.1250598773329997E-4</v>
      </c>
      <c r="Q47" s="2">
        <f>+C47-15018.5</f>
        <v>40345.369200000001</v>
      </c>
    </row>
    <row r="48" spans="1:17" x14ac:dyDescent="0.2">
      <c r="A48" s="53" t="s">
        <v>174</v>
      </c>
      <c r="B48" s="56" t="s">
        <v>37</v>
      </c>
      <c r="C48" s="54">
        <v>55848.33</v>
      </c>
      <c r="D48" s="54" t="s">
        <v>59</v>
      </c>
      <c r="E48">
        <f>+(C48-C$7)/C$8</f>
        <v>1001.0006558945654</v>
      </c>
      <c r="F48">
        <f>ROUND(2*E48,0)/2</f>
        <v>1001</v>
      </c>
      <c r="G48">
        <f>+C48-(C$7+F48*C$8)</f>
        <v>3.17437581543345E-4</v>
      </c>
      <c r="K48">
        <f>+G48</f>
        <v>3.17437581543345E-4</v>
      </c>
      <c r="O48">
        <f ca="1">+C$11+C$12*$F48</f>
        <v>4.5692500214615734E-4</v>
      </c>
      <c r="Q48" s="2">
        <f>+C48-15018.5</f>
        <v>40829.83</v>
      </c>
    </row>
    <row r="49" spans="1:17" x14ac:dyDescent="0.2">
      <c r="A49" s="53" t="s">
        <v>191</v>
      </c>
      <c r="B49" s="56" t="s">
        <v>37</v>
      </c>
      <c r="C49" s="54">
        <v>55853.654199999997</v>
      </c>
      <c r="D49" s="54" t="s">
        <v>59</v>
      </c>
      <c r="E49">
        <f>+(C49-C$7)/C$8</f>
        <v>1012.0016024149072</v>
      </c>
      <c r="F49">
        <f>ROUND(2*E49,0)/2</f>
        <v>1012</v>
      </c>
      <c r="G49">
        <f>+C49-(C$7+F49*C$8)</f>
        <v>7.7553121809614822E-4</v>
      </c>
      <c r="K49">
        <f>+G49</f>
        <v>7.7553121809614822E-4</v>
      </c>
      <c r="O49">
        <f ca="1">+C$11+C$12*$F49</f>
        <v>4.5851202428256235E-4</v>
      </c>
      <c r="Q49" s="2">
        <f>+C49-15018.5</f>
        <v>40835.154199999997</v>
      </c>
    </row>
    <row r="50" spans="1:17" x14ac:dyDescent="0.2">
      <c r="A50" s="33" t="s">
        <v>44</v>
      </c>
      <c r="B50" s="34" t="s">
        <v>36</v>
      </c>
      <c r="C50" s="35">
        <v>56223.653899999998</v>
      </c>
      <c r="D50" s="35">
        <v>4.0000000000000002E-4</v>
      </c>
      <c r="E50">
        <f>+(C50-C$7)/C$8</f>
        <v>1776.5008534283895</v>
      </c>
      <c r="F50">
        <f>ROUND(2*E50,0)/2</f>
        <v>1776.5</v>
      </c>
      <c r="G50">
        <f>+C50-(C$7+F50*C$8)</f>
        <v>4.1303931357106194E-4</v>
      </c>
      <c r="K50">
        <f>+G50</f>
        <v>4.1303931357106194E-4</v>
      </c>
      <c r="O50">
        <f ca="1">+C$11+C$12*$F50</f>
        <v>5.6881006276271158E-4</v>
      </c>
      <c r="Q50" s="2">
        <f>+C50-15018.5</f>
        <v>41205.153899999998</v>
      </c>
    </row>
    <row r="51" spans="1:17" x14ac:dyDescent="0.2">
      <c r="A51" s="36" t="s">
        <v>48</v>
      </c>
      <c r="B51" s="37" t="s">
        <v>37</v>
      </c>
      <c r="C51" s="38">
        <v>56534.37</v>
      </c>
      <c r="D51" s="39">
        <v>1.0999999999999999E-2</v>
      </c>
      <c r="E51">
        <f>+(C51-C$7)/C$8</f>
        <v>2418.5073894548618</v>
      </c>
      <c r="F51">
        <f>ROUND(2*E51,0)/2</f>
        <v>2418.5</v>
      </c>
      <c r="G51">
        <f>+C51-(C$7+F51*C$8)</f>
        <v>3.5763227715506218E-3</v>
      </c>
      <c r="J51">
        <f>+G51</f>
        <v>3.5763227715506218E-3</v>
      </c>
      <c r="O51">
        <f ca="1">+C$11+C$12*$F51</f>
        <v>6.6143444563289584E-4</v>
      </c>
      <c r="Q51" s="2">
        <f>+C51-15018.5</f>
        <v>41515.870000000003</v>
      </c>
    </row>
    <row r="52" spans="1:17" x14ac:dyDescent="0.2">
      <c r="A52" s="58" t="s">
        <v>0</v>
      </c>
      <c r="B52" s="59" t="s">
        <v>36</v>
      </c>
      <c r="C52" s="60">
        <v>57298.3243</v>
      </c>
      <c r="D52" s="60">
        <v>5.0000000000000001E-3</v>
      </c>
      <c r="E52">
        <f>+(C52-C$7)/C$8</f>
        <v>3997.0018859599318</v>
      </c>
      <c r="F52">
        <f>ROUND(2*E52,0)/2</f>
        <v>3997</v>
      </c>
      <c r="G52">
        <f>+C52-(C$7+F52*C$8)</f>
        <v>9.1276035527698696E-4</v>
      </c>
      <c r="K52">
        <f>+G52</f>
        <v>9.1276035527698696E-4</v>
      </c>
      <c r="O52">
        <f ca="1">+C$11+C$12*$F52</f>
        <v>8.89172122207017E-4</v>
      </c>
      <c r="Q52" s="2">
        <f>+C52-15018.5</f>
        <v>42279.8243</v>
      </c>
    </row>
    <row r="53" spans="1:17" x14ac:dyDescent="0.2">
      <c r="A53" s="58" t="s">
        <v>0</v>
      </c>
      <c r="B53" s="59" t="s">
        <v>37</v>
      </c>
      <c r="C53" s="60">
        <v>57564.5118</v>
      </c>
      <c r="D53" s="60">
        <v>1.6000000000000001E-3</v>
      </c>
      <c r="E53">
        <f>+(C53-C$7)/C$8</f>
        <v>4547.0027221204782</v>
      </c>
      <c r="F53">
        <f>ROUND(2*E53,0)/2</f>
        <v>4547</v>
      </c>
      <c r="G53">
        <f>+C53-(C$7+F53*C$8)</f>
        <v>1.3174424457247369E-3</v>
      </c>
      <c r="K53">
        <f>+G53</f>
        <v>1.3174424457247369E-3</v>
      </c>
      <c r="O53">
        <f ca="1">+C$11+C$12*$F53</f>
        <v>9.6852322902726828E-4</v>
      </c>
      <c r="Q53" s="2">
        <f>+C53-15018.5</f>
        <v>42546.0118</v>
      </c>
    </row>
    <row r="54" spans="1:17" x14ac:dyDescent="0.2">
      <c r="A54" s="61" t="s">
        <v>193</v>
      </c>
      <c r="B54" s="62" t="s">
        <v>37</v>
      </c>
      <c r="C54" s="63">
        <v>57705.344409999903</v>
      </c>
      <c r="D54" s="63">
        <v>5.0000000000000001E-4</v>
      </c>
      <c r="E54">
        <f>+(C54-C$7)/C$8</f>
        <v>4837.9932955268878</v>
      </c>
      <c r="F54">
        <f>ROUND(2*E54,0)/2</f>
        <v>4838</v>
      </c>
      <c r="G54">
        <f>+C54-(C$7+F54*C$8)</f>
        <v>-3.24480768176727E-3</v>
      </c>
      <c r="K54">
        <f>+G54</f>
        <v>-3.24480768176727E-3</v>
      </c>
      <c r="O54">
        <f ca="1">+C$11+C$12*$F54</f>
        <v>1.0105071782721649E-3</v>
      </c>
      <c r="Q54" s="2">
        <f>+C54-15018.5</f>
        <v>42686.844409999903</v>
      </c>
    </row>
    <row r="55" spans="1:17" x14ac:dyDescent="0.2">
      <c r="A55" s="66" t="s">
        <v>195</v>
      </c>
      <c r="B55" s="67" t="s">
        <v>37</v>
      </c>
      <c r="C55" s="68">
        <v>59330.544999999925</v>
      </c>
      <c r="D55" s="66">
        <v>1E-3</v>
      </c>
      <c r="E55">
        <f>+(C55-C$7)/C$8</f>
        <v>8196.008542030293</v>
      </c>
      <c r="F55">
        <f>ROUND(2*E55,0)/2</f>
        <v>8196</v>
      </c>
      <c r="G55">
        <f>+C55-(C$7+F55*C$8)</f>
        <v>4.1341422402183525E-3</v>
      </c>
      <c r="K55">
        <f>+G55</f>
        <v>4.1341422402183525E-3</v>
      </c>
      <c r="O55">
        <f ca="1">+C$11+C$12*$F55</f>
        <v>1.4949817540947173E-3</v>
      </c>
      <c r="Q55" s="2">
        <f>+C55-15018.5</f>
        <v>44312.044999999925</v>
      </c>
    </row>
    <row r="56" spans="1:17" x14ac:dyDescent="0.2">
      <c r="A56" s="5" t="s">
        <v>194</v>
      </c>
      <c r="C56" s="64">
        <v>59402.900900000001</v>
      </c>
      <c r="D56" s="65">
        <v>2.9999999999999997E-4</v>
      </c>
      <c r="E56">
        <f>+(C56-C$7)/C$8</f>
        <v>8345.5114506987684</v>
      </c>
      <c r="F56">
        <f>ROUND(2*E56,0)/2</f>
        <v>8345.5</v>
      </c>
      <c r="G56">
        <f>+C56-(C$7+F56*C$8)</f>
        <v>5.5418695337721147E-3</v>
      </c>
      <c r="K56">
        <f>+G56</f>
        <v>5.5418695337721147E-3</v>
      </c>
      <c r="O56">
        <f ca="1">+C$11+C$12*$F56</f>
        <v>1.5165508276758584E-3</v>
      </c>
      <c r="Q56" s="2">
        <f>+C56-15018.5</f>
        <v>44384.400900000001</v>
      </c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54:D54" name="Range1"/>
  </protectedRanges>
  <sortState xmlns:xlrd2="http://schemas.microsoft.com/office/spreadsheetml/2017/richdata2" ref="A21:U56">
    <sortCondition ref="C21:C56"/>
  </sortState>
  <phoneticPr fontId="8" type="noConversion"/>
  <hyperlinks>
    <hyperlink ref="H92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workbookViewId="0">
      <selection activeCell="A17" sqref="A17:D4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49</v>
      </c>
      <c r="I1" s="41" t="s">
        <v>50</v>
      </c>
      <c r="J1" s="42" t="s">
        <v>51</v>
      </c>
    </row>
    <row r="2" spans="1:16" x14ac:dyDescent="0.2">
      <c r="I2" s="43" t="s">
        <v>52</v>
      </c>
      <c r="J2" s="44" t="s">
        <v>53</v>
      </c>
    </row>
    <row r="3" spans="1:16" x14ac:dyDescent="0.2">
      <c r="A3" s="45" t="s">
        <v>54</v>
      </c>
      <c r="I3" s="43" t="s">
        <v>55</v>
      </c>
      <c r="J3" s="44" t="s">
        <v>56</v>
      </c>
    </row>
    <row r="4" spans="1:16" x14ac:dyDescent="0.2">
      <c r="I4" s="43" t="s">
        <v>57</v>
      </c>
      <c r="J4" s="44" t="s">
        <v>56</v>
      </c>
    </row>
    <row r="5" spans="1:16" ht="13.5" thickBot="1" x14ac:dyDescent="0.25">
      <c r="I5" s="46" t="s">
        <v>58</v>
      </c>
      <c r="J5" s="47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40" si="0">P11</f>
        <v>BAVM 183 </v>
      </c>
      <c r="B11" s="3" t="str">
        <f t="shared" ref="B11:B40" si="1">IF(H11=INT(H11),"I","II")</f>
        <v>II</v>
      </c>
      <c r="C11" s="10">
        <f t="shared" ref="C11:C40" si="2">1*G11</f>
        <v>52876.467299999997</v>
      </c>
      <c r="D11" s="12" t="str">
        <f t="shared" ref="D11:D40" si="3">VLOOKUP(F11,I$1:J$5,2,FALSE)</f>
        <v>vis</v>
      </c>
      <c r="E11" s="48">
        <f>VLOOKUP(C11,Active!C$21:E$973,3,FALSE)</f>
        <v>-5139.5092100996708</v>
      </c>
      <c r="F11" s="3" t="s">
        <v>58</v>
      </c>
      <c r="G11" s="12" t="str">
        <f t="shared" ref="G11:G40" si="4">MID(I11,3,LEN(I11)-3)</f>
        <v>52876.4673</v>
      </c>
      <c r="H11" s="10">
        <f t="shared" ref="H11:H40" si="5">1*K11</f>
        <v>777.5</v>
      </c>
      <c r="I11" s="49" t="s">
        <v>84</v>
      </c>
      <c r="J11" s="50" t="s">
        <v>85</v>
      </c>
      <c r="K11" s="49">
        <v>777.5</v>
      </c>
      <c r="L11" s="49" t="s">
        <v>86</v>
      </c>
      <c r="M11" s="50" t="s">
        <v>87</v>
      </c>
      <c r="N11" s="50" t="s">
        <v>88</v>
      </c>
      <c r="O11" s="51" t="s">
        <v>89</v>
      </c>
      <c r="P11" s="52" t="s">
        <v>90</v>
      </c>
    </row>
    <row r="12" spans="1:16" ht="12.75" customHeight="1" thickBot="1" x14ac:dyDescent="0.25">
      <c r="A12" s="10" t="str">
        <f t="shared" si="0"/>
        <v>BAVM 183 </v>
      </c>
      <c r="B12" s="3" t="str">
        <f t="shared" si="1"/>
        <v>I</v>
      </c>
      <c r="C12" s="10">
        <f t="shared" si="2"/>
        <v>53619.61</v>
      </c>
      <c r="D12" s="12" t="str">
        <f t="shared" si="3"/>
        <v>vis</v>
      </c>
      <c r="E12" s="48">
        <f>VLOOKUP(C12,Active!C$21:E$973,3,FALSE)</f>
        <v>-3604.0159717372085</v>
      </c>
      <c r="F12" s="3" t="s">
        <v>58</v>
      </c>
      <c r="G12" s="12" t="str">
        <f t="shared" si="4"/>
        <v>53619.610</v>
      </c>
      <c r="H12" s="10">
        <f t="shared" si="5"/>
        <v>2313</v>
      </c>
      <c r="I12" s="49" t="s">
        <v>146</v>
      </c>
      <c r="J12" s="50" t="s">
        <v>147</v>
      </c>
      <c r="K12" s="49" t="s">
        <v>148</v>
      </c>
      <c r="L12" s="49" t="s">
        <v>149</v>
      </c>
      <c r="M12" s="50" t="s">
        <v>87</v>
      </c>
      <c r="N12" s="50" t="s">
        <v>88</v>
      </c>
      <c r="O12" s="51" t="s">
        <v>100</v>
      </c>
      <c r="P12" s="52" t="s">
        <v>90</v>
      </c>
    </row>
    <row r="13" spans="1:16" ht="12.75" customHeight="1" thickBot="1" x14ac:dyDescent="0.25">
      <c r="A13" s="10" t="str">
        <f t="shared" si="0"/>
        <v>IBVS 5920 </v>
      </c>
      <c r="B13" s="3" t="str">
        <f t="shared" si="1"/>
        <v>II</v>
      </c>
      <c r="C13" s="10">
        <f t="shared" si="2"/>
        <v>55119.701500000003</v>
      </c>
      <c r="D13" s="12" t="str">
        <f t="shared" si="3"/>
        <v>vis</v>
      </c>
      <c r="E13" s="48">
        <f>VLOOKUP(C13,Active!C$21:E$973,3,FALSE)</f>
        <v>-504.50311212761375</v>
      </c>
      <c r="F13" s="3" t="s">
        <v>58</v>
      </c>
      <c r="G13" s="12" t="str">
        <f t="shared" si="4"/>
        <v>55119.7015</v>
      </c>
      <c r="H13" s="10">
        <f t="shared" si="5"/>
        <v>5412.5</v>
      </c>
      <c r="I13" s="49" t="s">
        <v>156</v>
      </c>
      <c r="J13" s="50" t="s">
        <v>157</v>
      </c>
      <c r="K13" s="49" t="s">
        <v>158</v>
      </c>
      <c r="L13" s="49" t="s">
        <v>159</v>
      </c>
      <c r="M13" s="50" t="s">
        <v>87</v>
      </c>
      <c r="N13" s="50" t="s">
        <v>58</v>
      </c>
      <c r="O13" s="51" t="s">
        <v>160</v>
      </c>
      <c r="P13" s="52" t="s">
        <v>161</v>
      </c>
    </row>
    <row r="14" spans="1:16" ht="12.75" customHeight="1" thickBot="1" x14ac:dyDescent="0.25">
      <c r="A14" s="10" t="str">
        <f t="shared" si="0"/>
        <v>IBVS 5966 </v>
      </c>
      <c r="B14" s="3" t="str">
        <f t="shared" si="1"/>
        <v>I</v>
      </c>
      <c r="C14" s="10">
        <f t="shared" si="2"/>
        <v>55363.869200000001</v>
      </c>
      <c r="D14" s="12" t="str">
        <f t="shared" si="3"/>
        <v>vis</v>
      </c>
      <c r="E14" s="48">
        <f>VLOOKUP(C14,Active!C$21:E$973,3,FALSE)</f>
        <v>6.3879510321513728E-5</v>
      </c>
      <c r="F14" s="3" t="s">
        <v>58</v>
      </c>
      <c r="G14" s="12" t="str">
        <f t="shared" si="4"/>
        <v>55363.8692</v>
      </c>
      <c r="H14" s="10">
        <f t="shared" si="5"/>
        <v>5917</v>
      </c>
      <c r="I14" s="49" t="s">
        <v>162</v>
      </c>
      <c r="J14" s="50" t="s">
        <v>163</v>
      </c>
      <c r="K14" s="49" t="s">
        <v>164</v>
      </c>
      <c r="L14" s="49" t="s">
        <v>165</v>
      </c>
      <c r="M14" s="50" t="s">
        <v>87</v>
      </c>
      <c r="N14" s="50" t="s">
        <v>166</v>
      </c>
      <c r="O14" s="51" t="s">
        <v>167</v>
      </c>
      <c r="P14" s="52" t="s">
        <v>168</v>
      </c>
    </row>
    <row r="15" spans="1:16" ht="12.75" customHeight="1" thickBot="1" x14ac:dyDescent="0.25">
      <c r="A15" s="10" t="str">
        <f t="shared" si="0"/>
        <v>IBVS 6042 </v>
      </c>
      <c r="B15" s="3" t="str">
        <f t="shared" si="1"/>
        <v>II</v>
      </c>
      <c r="C15" s="10">
        <f t="shared" si="2"/>
        <v>56223.653899999998</v>
      </c>
      <c r="D15" s="12" t="str">
        <f t="shared" si="3"/>
        <v>vis</v>
      </c>
      <c r="E15" s="48">
        <f>VLOOKUP(C15,Active!C$21:E$973,3,FALSE)</f>
        <v>1776.5008534283895</v>
      </c>
      <c r="F15" s="3" t="s">
        <v>58</v>
      </c>
      <c r="G15" s="12" t="str">
        <f t="shared" si="4"/>
        <v>56223.6539</v>
      </c>
      <c r="H15" s="10">
        <f t="shared" si="5"/>
        <v>7693.5</v>
      </c>
      <c r="I15" s="49" t="s">
        <v>180</v>
      </c>
      <c r="J15" s="50" t="s">
        <v>181</v>
      </c>
      <c r="K15" s="49" t="s">
        <v>182</v>
      </c>
      <c r="L15" s="49" t="s">
        <v>183</v>
      </c>
      <c r="M15" s="50" t="s">
        <v>87</v>
      </c>
      <c r="N15" s="50" t="s">
        <v>58</v>
      </c>
      <c r="O15" s="51" t="s">
        <v>160</v>
      </c>
      <c r="P15" s="52" t="s">
        <v>184</v>
      </c>
    </row>
    <row r="16" spans="1:16" ht="12.75" customHeight="1" thickBot="1" x14ac:dyDescent="0.25">
      <c r="A16" s="10" t="str">
        <f t="shared" si="0"/>
        <v>BAVM 234 </v>
      </c>
      <c r="B16" s="3" t="str">
        <f t="shared" si="1"/>
        <v>II</v>
      </c>
      <c r="C16" s="10">
        <f t="shared" si="2"/>
        <v>56534.37</v>
      </c>
      <c r="D16" s="12" t="str">
        <f t="shared" si="3"/>
        <v>vis</v>
      </c>
      <c r="E16" s="48">
        <f>VLOOKUP(C16,Active!C$21:E$973,3,FALSE)</f>
        <v>2418.5073894548618</v>
      </c>
      <c r="F16" s="3" t="s">
        <v>58</v>
      </c>
      <c r="G16" s="12" t="str">
        <f t="shared" si="4"/>
        <v>56534.37</v>
      </c>
      <c r="H16" s="10">
        <f t="shared" si="5"/>
        <v>8335.5</v>
      </c>
      <c r="I16" s="49" t="s">
        <v>185</v>
      </c>
      <c r="J16" s="50" t="s">
        <v>186</v>
      </c>
      <c r="K16" s="49" t="s">
        <v>187</v>
      </c>
      <c r="L16" s="49" t="s">
        <v>188</v>
      </c>
      <c r="M16" s="50" t="s">
        <v>87</v>
      </c>
      <c r="N16" s="50" t="s">
        <v>88</v>
      </c>
      <c r="O16" s="51" t="s">
        <v>189</v>
      </c>
      <c r="P16" s="52" t="s">
        <v>190</v>
      </c>
    </row>
    <row r="17" spans="1:16" ht="12.75" customHeight="1" thickBot="1" x14ac:dyDescent="0.25">
      <c r="A17" s="10" t="str">
        <f t="shared" si="0"/>
        <v>BAVM R55 </v>
      </c>
      <c r="B17" s="3" t="str">
        <f t="shared" si="1"/>
        <v>I</v>
      </c>
      <c r="C17" s="10">
        <f t="shared" si="2"/>
        <v>51316.376499999998</v>
      </c>
      <c r="D17" s="12" t="str">
        <f t="shared" si="3"/>
        <v>vis</v>
      </c>
      <c r="E17" s="48">
        <f>VLOOKUP(C17,Active!C$21:E$973,3,FALSE)</f>
        <v>-8362.9935753924601</v>
      </c>
      <c r="F17" s="3" t="s">
        <v>58</v>
      </c>
      <c r="G17" s="12" t="str">
        <f t="shared" si="4"/>
        <v>51316.3765</v>
      </c>
      <c r="H17" s="10">
        <f t="shared" si="5"/>
        <v>-2446</v>
      </c>
      <c r="I17" s="49" t="s">
        <v>60</v>
      </c>
      <c r="J17" s="50" t="s">
        <v>61</v>
      </c>
      <c r="K17" s="49">
        <v>-2446</v>
      </c>
      <c r="L17" s="49" t="s">
        <v>62</v>
      </c>
      <c r="M17" s="50" t="s">
        <v>63</v>
      </c>
      <c r="N17" s="50" t="s">
        <v>64</v>
      </c>
      <c r="O17" s="51" t="s">
        <v>65</v>
      </c>
      <c r="P17" s="52" t="s">
        <v>66</v>
      </c>
    </row>
    <row r="18" spans="1:16" ht="12.75" customHeight="1" thickBot="1" x14ac:dyDescent="0.25">
      <c r="A18" s="10" t="str">
        <f t="shared" si="0"/>
        <v>BAVM R55 </v>
      </c>
      <c r="B18" s="3" t="str">
        <f t="shared" si="1"/>
        <v>II</v>
      </c>
      <c r="C18" s="10">
        <f t="shared" si="2"/>
        <v>51434.221799999999</v>
      </c>
      <c r="D18" s="12" t="str">
        <f t="shared" si="3"/>
        <v>vis</v>
      </c>
      <c r="E18" s="48">
        <f>VLOOKUP(C18,Active!C$21:E$973,3,FALSE)</f>
        <v>-8119.4997466529776</v>
      </c>
      <c r="F18" s="3" t="s">
        <v>58</v>
      </c>
      <c r="G18" s="12" t="str">
        <f t="shared" si="4"/>
        <v>51434.2218</v>
      </c>
      <c r="H18" s="10">
        <f t="shared" si="5"/>
        <v>-2202.5</v>
      </c>
      <c r="I18" s="49" t="s">
        <v>67</v>
      </c>
      <c r="J18" s="50" t="s">
        <v>68</v>
      </c>
      <c r="K18" s="49">
        <v>-2202.5</v>
      </c>
      <c r="L18" s="49" t="s">
        <v>69</v>
      </c>
      <c r="M18" s="50" t="s">
        <v>63</v>
      </c>
      <c r="N18" s="50" t="s">
        <v>64</v>
      </c>
      <c r="O18" s="51" t="s">
        <v>65</v>
      </c>
      <c r="P18" s="52" t="s">
        <v>66</v>
      </c>
    </row>
    <row r="19" spans="1:16" ht="12.75" customHeight="1" thickBot="1" x14ac:dyDescent="0.25">
      <c r="A19" s="10" t="str">
        <f t="shared" si="0"/>
        <v>BAVM R55 </v>
      </c>
      <c r="B19" s="3" t="str">
        <f t="shared" si="1"/>
        <v>II</v>
      </c>
      <c r="C19" s="10">
        <f t="shared" si="2"/>
        <v>51481.165500000003</v>
      </c>
      <c r="D19" s="12" t="str">
        <f t="shared" si="3"/>
        <v>vis</v>
      </c>
      <c r="E19" s="48">
        <f>VLOOKUP(C19,Active!C$21:E$973,3,FALSE)</f>
        <v>-8022.5039288460866</v>
      </c>
      <c r="F19" s="3" t="s">
        <v>58</v>
      </c>
      <c r="G19" s="12" t="str">
        <f t="shared" si="4"/>
        <v>51481.1655</v>
      </c>
      <c r="H19" s="10">
        <f t="shared" si="5"/>
        <v>-2105.5</v>
      </c>
      <c r="I19" s="49" t="s">
        <v>70</v>
      </c>
      <c r="J19" s="50" t="s">
        <v>71</v>
      </c>
      <c r="K19" s="49">
        <v>-2105.5</v>
      </c>
      <c r="L19" s="49" t="s">
        <v>72</v>
      </c>
      <c r="M19" s="50" t="s">
        <v>63</v>
      </c>
      <c r="N19" s="50" t="s">
        <v>64</v>
      </c>
      <c r="O19" s="51" t="s">
        <v>65</v>
      </c>
      <c r="P19" s="52" t="s">
        <v>66</v>
      </c>
    </row>
    <row r="20" spans="1:16" ht="12.75" customHeight="1" thickBot="1" x14ac:dyDescent="0.25">
      <c r="A20" s="10" t="str">
        <f t="shared" si="0"/>
        <v>BAVM R55 </v>
      </c>
      <c r="B20" s="3" t="str">
        <f t="shared" si="1"/>
        <v>I</v>
      </c>
      <c r="C20" s="10">
        <f t="shared" si="2"/>
        <v>51481.410400000001</v>
      </c>
      <c r="D20" s="12" t="str">
        <f t="shared" si="3"/>
        <v>vis</v>
      </c>
      <c r="E20" s="48">
        <f>VLOOKUP(C20,Active!C$21:E$973,3,FALSE)</f>
        <v>-8021.9979125802047</v>
      </c>
      <c r="F20" s="3" t="s">
        <v>58</v>
      </c>
      <c r="G20" s="12" t="str">
        <f t="shared" si="4"/>
        <v>51481.4104</v>
      </c>
      <c r="H20" s="10">
        <f t="shared" si="5"/>
        <v>-2105</v>
      </c>
      <c r="I20" s="49" t="s">
        <v>73</v>
      </c>
      <c r="J20" s="50" t="s">
        <v>74</v>
      </c>
      <c r="K20" s="49">
        <v>-2105</v>
      </c>
      <c r="L20" s="49" t="s">
        <v>75</v>
      </c>
      <c r="M20" s="50" t="s">
        <v>63</v>
      </c>
      <c r="N20" s="50" t="s">
        <v>64</v>
      </c>
      <c r="O20" s="51" t="s">
        <v>65</v>
      </c>
      <c r="P20" s="52" t="s">
        <v>66</v>
      </c>
    </row>
    <row r="21" spans="1:16" ht="12.75" customHeight="1" thickBot="1" x14ac:dyDescent="0.25">
      <c r="A21" s="10" t="str">
        <f t="shared" si="0"/>
        <v>BAVM R55 </v>
      </c>
      <c r="B21" s="3" t="str">
        <f t="shared" si="1"/>
        <v>II</v>
      </c>
      <c r="C21" s="10">
        <f t="shared" si="2"/>
        <v>51482.133500000004</v>
      </c>
      <c r="D21" s="12" t="str">
        <f t="shared" si="3"/>
        <v>vis</v>
      </c>
      <c r="E21" s="48">
        <f>VLOOKUP(C21,Active!C$21:E$973,3,FALSE)</f>
        <v>-8020.5038318865982</v>
      </c>
      <c r="F21" s="3" t="s">
        <v>58</v>
      </c>
      <c r="G21" s="12" t="str">
        <f t="shared" si="4"/>
        <v>51482.1335</v>
      </c>
      <c r="H21" s="10">
        <f t="shared" si="5"/>
        <v>-2103.5</v>
      </c>
      <c r="I21" s="49" t="s">
        <v>76</v>
      </c>
      <c r="J21" s="50" t="s">
        <v>77</v>
      </c>
      <c r="K21" s="49">
        <v>-2103.5</v>
      </c>
      <c r="L21" s="49" t="s">
        <v>72</v>
      </c>
      <c r="M21" s="50" t="s">
        <v>63</v>
      </c>
      <c r="N21" s="50" t="s">
        <v>64</v>
      </c>
      <c r="O21" s="51" t="s">
        <v>65</v>
      </c>
      <c r="P21" s="52" t="s">
        <v>66</v>
      </c>
    </row>
    <row r="22" spans="1:16" ht="12.75" customHeight="1" thickBot="1" x14ac:dyDescent="0.25">
      <c r="A22" s="10" t="str">
        <f t="shared" si="0"/>
        <v>BAVM R55 </v>
      </c>
      <c r="B22" s="3" t="str">
        <f t="shared" si="1"/>
        <v>I</v>
      </c>
      <c r="C22" s="10">
        <f t="shared" si="2"/>
        <v>51483.346700000002</v>
      </c>
      <c r="D22" s="12" t="str">
        <f t="shared" si="3"/>
        <v>vis</v>
      </c>
      <c r="E22" s="48">
        <f>VLOOKUP(C22,Active!C$21:E$973,3,FALSE)</f>
        <v>-8017.997098796468</v>
      </c>
      <c r="F22" s="3" t="s">
        <v>58</v>
      </c>
      <c r="G22" s="12" t="str">
        <f t="shared" si="4"/>
        <v>51483.3467</v>
      </c>
      <c r="H22" s="10">
        <f t="shared" si="5"/>
        <v>-2101</v>
      </c>
      <c r="I22" s="49" t="s">
        <v>78</v>
      </c>
      <c r="J22" s="50" t="s">
        <v>79</v>
      </c>
      <c r="K22" s="49">
        <v>-2101</v>
      </c>
      <c r="L22" s="49" t="s">
        <v>80</v>
      </c>
      <c r="M22" s="50" t="s">
        <v>63</v>
      </c>
      <c r="N22" s="50" t="s">
        <v>64</v>
      </c>
      <c r="O22" s="51" t="s">
        <v>65</v>
      </c>
      <c r="P22" s="52" t="s">
        <v>66</v>
      </c>
    </row>
    <row r="23" spans="1:16" ht="12.75" customHeight="1" thickBot="1" x14ac:dyDescent="0.25">
      <c r="A23" s="10" t="str">
        <f t="shared" si="0"/>
        <v>BAVM R55 </v>
      </c>
      <c r="B23" s="3" t="str">
        <f t="shared" si="1"/>
        <v>I</v>
      </c>
      <c r="C23" s="10">
        <f t="shared" si="2"/>
        <v>51486.2569</v>
      </c>
      <c r="D23" s="12" t="str">
        <f t="shared" si="3"/>
        <v>vis</v>
      </c>
      <c r="E23" s="48">
        <f>VLOOKUP(C23,Active!C$21:E$973,3,FALSE)</f>
        <v>-8011.9839973796334</v>
      </c>
      <c r="F23" s="3" t="s">
        <v>58</v>
      </c>
      <c r="G23" s="12" t="str">
        <f t="shared" si="4"/>
        <v>51486.2569</v>
      </c>
      <c r="H23" s="10">
        <f t="shared" si="5"/>
        <v>-2095</v>
      </c>
      <c r="I23" s="49" t="s">
        <v>81</v>
      </c>
      <c r="J23" s="50" t="s">
        <v>82</v>
      </c>
      <c r="K23" s="49">
        <v>-2095</v>
      </c>
      <c r="L23" s="49" t="s">
        <v>83</v>
      </c>
      <c r="M23" s="50" t="s">
        <v>63</v>
      </c>
      <c r="N23" s="50" t="s">
        <v>64</v>
      </c>
      <c r="O23" s="51" t="s">
        <v>65</v>
      </c>
      <c r="P23" s="52" t="s">
        <v>66</v>
      </c>
    </row>
    <row r="24" spans="1:16" ht="12.75" customHeight="1" thickBot="1" x14ac:dyDescent="0.25">
      <c r="A24" s="10" t="str">
        <f t="shared" si="0"/>
        <v>BAVM R55 </v>
      </c>
      <c r="B24" s="3" t="str">
        <f t="shared" si="1"/>
        <v>I</v>
      </c>
      <c r="C24" s="10">
        <f t="shared" si="2"/>
        <v>52928.499799999998</v>
      </c>
      <c r="D24" s="12" t="str">
        <f t="shared" si="3"/>
        <v>vis</v>
      </c>
      <c r="E24" s="48">
        <f>VLOOKUP(C24,Active!C$21:E$973,3,FALSE)</f>
        <v>-5031.9988329875814</v>
      </c>
      <c r="F24" s="3" t="s">
        <v>58</v>
      </c>
      <c r="G24" s="12" t="str">
        <f t="shared" si="4"/>
        <v>52928.4998</v>
      </c>
      <c r="H24" s="10">
        <f t="shared" si="5"/>
        <v>885</v>
      </c>
      <c r="I24" s="49" t="s">
        <v>91</v>
      </c>
      <c r="J24" s="50" t="s">
        <v>92</v>
      </c>
      <c r="K24" s="49" t="s">
        <v>93</v>
      </c>
      <c r="L24" s="49" t="s">
        <v>94</v>
      </c>
      <c r="M24" s="50" t="s">
        <v>63</v>
      </c>
      <c r="N24" s="50" t="s">
        <v>64</v>
      </c>
      <c r="O24" s="51" t="s">
        <v>95</v>
      </c>
      <c r="P24" s="52" t="s">
        <v>66</v>
      </c>
    </row>
    <row r="25" spans="1:16" ht="12.75" customHeight="1" thickBot="1" x14ac:dyDescent="0.25">
      <c r="A25" s="10" t="str">
        <f t="shared" si="0"/>
        <v>BAVM R55 </v>
      </c>
      <c r="B25" s="3" t="str">
        <f t="shared" si="1"/>
        <v>I</v>
      </c>
      <c r="C25" s="10">
        <f t="shared" si="2"/>
        <v>52931.402000000002</v>
      </c>
      <c r="D25" s="12" t="str">
        <f t="shared" si="3"/>
        <v>vis</v>
      </c>
      <c r="E25" s="48">
        <f>VLOOKUP(C25,Active!C$21:E$973,3,FALSE)</f>
        <v>-5026.0022612976736</v>
      </c>
      <c r="F25" s="3" t="s">
        <v>58</v>
      </c>
      <c r="G25" s="12" t="str">
        <f t="shared" si="4"/>
        <v>52931.4020</v>
      </c>
      <c r="H25" s="10">
        <f t="shared" si="5"/>
        <v>891</v>
      </c>
      <c r="I25" s="49" t="s">
        <v>96</v>
      </c>
      <c r="J25" s="50" t="s">
        <v>97</v>
      </c>
      <c r="K25" s="49" t="s">
        <v>98</v>
      </c>
      <c r="L25" s="49" t="s">
        <v>99</v>
      </c>
      <c r="M25" s="50" t="s">
        <v>63</v>
      </c>
      <c r="N25" s="50" t="s">
        <v>88</v>
      </c>
      <c r="O25" s="51" t="s">
        <v>100</v>
      </c>
      <c r="P25" s="52" t="s">
        <v>66</v>
      </c>
    </row>
    <row r="26" spans="1:16" ht="12.75" customHeight="1" thickBot="1" x14ac:dyDescent="0.25">
      <c r="A26" s="10" t="str">
        <f t="shared" si="0"/>
        <v>BAVM R55 </v>
      </c>
      <c r="B26" s="3" t="str">
        <f t="shared" si="1"/>
        <v>II</v>
      </c>
      <c r="C26" s="10">
        <f t="shared" si="2"/>
        <v>52956.326000000001</v>
      </c>
      <c r="D26" s="12" t="str">
        <f t="shared" si="3"/>
        <v>vis</v>
      </c>
      <c r="E26" s="48">
        <f>VLOOKUP(C26,Active!C$21:E$973,3,FALSE)</f>
        <v>-4974.5038970226233</v>
      </c>
      <c r="F26" s="3" t="s">
        <v>58</v>
      </c>
      <c r="G26" s="12" t="str">
        <f t="shared" si="4"/>
        <v>52956.3260</v>
      </c>
      <c r="H26" s="10">
        <f t="shared" si="5"/>
        <v>942.5</v>
      </c>
      <c r="I26" s="49" t="s">
        <v>101</v>
      </c>
      <c r="J26" s="50" t="s">
        <v>102</v>
      </c>
      <c r="K26" s="49" t="s">
        <v>103</v>
      </c>
      <c r="L26" s="49" t="s">
        <v>104</v>
      </c>
      <c r="M26" s="50" t="s">
        <v>63</v>
      </c>
      <c r="N26" s="50" t="s">
        <v>88</v>
      </c>
      <c r="O26" s="51" t="s">
        <v>100</v>
      </c>
      <c r="P26" s="52" t="s">
        <v>66</v>
      </c>
    </row>
    <row r="27" spans="1:16" ht="12.75" customHeight="1" thickBot="1" x14ac:dyDescent="0.25">
      <c r="A27" s="10" t="str">
        <f t="shared" si="0"/>
        <v>BAVM R55 </v>
      </c>
      <c r="B27" s="3" t="str">
        <f t="shared" si="1"/>
        <v>II</v>
      </c>
      <c r="C27" s="10">
        <f t="shared" si="2"/>
        <v>52956.332199999997</v>
      </c>
      <c r="D27" s="12" t="str">
        <f t="shared" si="3"/>
        <v>vis</v>
      </c>
      <c r="E27" s="48">
        <f>VLOOKUP(C27,Active!C$21:E$973,3,FALSE)</f>
        <v>-4974.4910864842541</v>
      </c>
      <c r="F27" s="3" t="s">
        <v>58</v>
      </c>
      <c r="G27" s="12" t="str">
        <f t="shared" si="4"/>
        <v>52956.3322</v>
      </c>
      <c r="H27" s="10">
        <f t="shared" si="5"/>
        <v>942.5</v>
      </c>
      <c r="I27" s="49" t="s">
        <v>105</v>
      </c>
      <c r="J27" s="50" t="s">
        <v>106</v>
      </c>
      <c r="K27" s="49" t="s">
        <v>103</v>
      </c>
      <c r="L27" s="49" t="s">
        <v>62</v>
      </c>
      <c r="M27" s="50" t="s">
        <v>63</v>
      </c>
      <c r="N27" s="50" t="s">
        <v>88</v>
      </c>
      <c r="O27" s="51" t="s">
        <v>100</v>
      </c>
      <c r="P27" s="52" t="s">
        <v>66</v>
      </c>
    </row>
    <row r="28" spans="1:16" ht="12.75" customHeight="1" thickBot="1" x14ac:dyDescent="0.25">
      <c r="A28" s="10" t="str">
        <f t="shared" si="0"/>
        <v>BAVM R55 </v>
      </c>
      <c r="B28" s="3" t="str">
        <f t="shared" si="1"/>
        <v>II</v>
      </c>
      <c r="C28" s="10">
        <f t="shared" si="2"/>
        <v>53224.436399999999</v>
      </c>
      <c r="D28" s="12" t="str">
        <f t="shared" si="3"/>
        <v>vis</v>
      </c>
      <c r="E28" s="48">
        <f>VLOOKUP(C28,Active!C$21:E$973,3,FALSE)</f>
        <v>-4420.5299343709694</v>
      </c>
      <c r="F28" s="3" t="s">
        <v>58</v>
      </c>
      <c r="G28" s="12" t="str">
        <f t="shared" si="4"/>
        <v>53224.4364</v>
      </c>
      <c r="H28" s="10">
        <f t="shared" si="5"/>
        <v>1496.5</v>
      </c>
      <c r="I28" s="49" t="s">
        <v>107</v>
      </c>
      <c r="J28" s="50" t="s">
        <v>108</v>
      </c>
      <c r="K28" s="49" t="s">
        <v>109</v>
      </c>
      <c r="L28" s="49" t="s">
        <v>110</v>
      </c>
      <c r="M28" s="50" t="s">
        <v>63</v>
      </c>
      <c r="N28" s="50" t="s">
        <v>88</v>
      </c>
      <c r="O28" s="51" t="s">
        <v>100</v>
      </c>
      <c r="P28" s="52" t="s">
        <v>66</v>
      </c>
    </row>
    <row r="29" spans="1:16" ht="12.75" customHeight="1" thickBot="1" x14ac:dyDescent="0.25">
      <c r="A29" s="10" t="str">
        <f t="shared" si="0"/>
        <v>BAVM R55 </v>
      </c>
      <c r="B29" s="3" t="str">
        <f t="shared" si="1"/>
        <v>II</v>
      </c>
      <c r="C29" s="10">
        <f t="shared" si="2"/>
        <v>53225.4113</v>
      </c>
      <c r="D29" s="12" t="str">
        <f t="shared" si="3"/>
        <v>vis</v>
      </c>
      <c r="E29" s="48">
        <f>VLOOKUP(C29,Active!C$21:E$973,3,FALSE)</f>
        <v>-4418.5155805219965</v>
      </c>
      <c r="F29" s="3" t="s">
        <v>58</v>
      </c>
      <c r="G29" s="12" t="str">
        <f t="shared" si="4"/>
        <v>53225.4113</v>
      </c>
      <c r="H29" s="10">
        <f t="shared" si="5"/>
        <v>1498.5</v>
      </c>
      <c r="I29" s="49" t="s">
        <v>111</v>
      </c>
      <c r="J29" s="50" t="s">
        <v>112</v>
      </c>
      <c r="K29" s="49" t="s">
        <v>113</v>
      </c>
      <c r="L29" s="49" t="s">
        <v>114</v>
      </c>
      <c r="M29" s="50" t="s">
        <v>63</v>
      </c>
      <c r="N29" s="50" t="s">
        <v>88</v>
      </c>
      <c r="O29" s="51" t="s">
        <v>100</v>
      </c>
      <c r="P29" s="52" t="s">
        <v>66</v>
      </c>
    </row>
    <row r="30" spans="1:16" ht="12.75" customHeight="1" thickBot="1" x14ac:dyDescent="0.25">
      <c r="A30" s="10" t="str">
        <f t="shared" si="0"/>
        <v>BAVM R55 </v>
      </c>
      <c r="B30" s="3" t="str">
        <f t="shared" si="1"/>
        <v>I</v>
      </c>
      <c r="C30" s="10">
        <f t="shared" si="2"/>
        <v>53252.275500000003</v>
      </c>
      <c r="D30" s="12" t="str">
        <f t="shared" si="3"/>
        <v>vis</v>
      </c>
      <c r="E30" s="48">
        <f>VLOOKUP(C30,Active!C$21:E$973,3,FALSE)</f>
        <v>-4363.0083442213199</v>
      </c>
      <c r="F30" s="3" t="s">
        <v>58</v>
      </c>
      <c r="G30" s="12" t="str">
        <f t="shared" si="4"/>
        <v>53252.2755</v>
      </c>
      <c r="H30" s="10">
        <f t="shared" si="5"/>
        <v>1554</v>
      </c>
      <c r="I30" s="49" t="s">
        <v>115</v>
      </c>
      <c r="J30" s="50" t="s">
        <v>116</v>
      </c>
      <c r="K30" s="49" t="s">
        <v>117</v>
      </c>
      <c r="L30" s="49" t="s">
        <v>118</v>
      </c>
      <c r="M30" s="50" t="s">
        <v>63</v>
      </c>
      <c r="N30" s="50" t="s">
        <v>58</v>
      </c>
      <c r="O30" s="51" t="s">
        <v>95</v>
      </c>
      <c r="P30" s="52" t="s">
        <v>66</v>
      </c>
    </row>
    <row r="31" spans="1:16" ht="12.75" customHeight="1" thickBot="1" x14ac:dyDescent="0.25">
      <c r="A31" s="10" t="str">
        <f t="shared" si="0"/>
        <v>BAVM R55 </v>
      </c>
      <c r="B31" s="3" t="str">
        <f t="shared" si="1"/>
        <v>I</v>
      </c>
      <c r="C31" s="10">
        <f t="shared" si="2"/>
        <v>53253.2595</v>
      </c>
      <c r="D31" s="12" t="str">
        <f t="shared" si="3"/>
        <v>vis</v>
      </c>
      <c r="E31" s="48">
        <f>VLOOKUP(C31,Active!C$21:E$973,3,FALSE)</f>
        <v>-4360.9751878079642</v>
      </c>
      <c r="F31" s="3" t="s">
        <v>58</v>
      </c>
      <c r="G31" s="12" t="str">
        <f t="shared" si="4"/>
        <v>53253.2595</v>
      </c>
      <c r="H31" s="10">
        <f t="shared" si="5"/>
        <v>1556</v>
      </c>
      <c r="I31" s="49" t="s">
        <v>119</v>
      </c>
      <c r="J31" s="50" t="s">
        <v>120</v>
      </c>
      <c r="K31" s="49" t="s">
        <v>121</v>
      </c>
      <c r="L31" s="49" t="s">
        <v>122</v>
      </c>
      <c r="M31" s="50" t="s">
        <v>63</v>
      </c>
      <c r="N31" s="50" t="s">
        <v>58</v>
      </c>
      <c r="O31" s="51" t="s">
        <v>95</v>
      </c>
      <c r="P31" s="52" t="s">
        <v>66</v>
      </c>
    </row>
    <row r="32" spans="1:16" ht="12.75" customHeight="1" thickBot="1" x14ac:dyDescent="0.25">
      <c r="A32" s="10" t="str">
        <f t="shared" si="0"/>
        <v>BAVM R55 </v>
      </c>
      <c r="B32" s="3" t="str">
        <f t="shared" si="1"/>
        <v>II</v>
      </c>
      <c r="C32" s="10">
        <f t="shared" si="2"/>
        <v>53287.366399999999</v>
      </c>
      <c r="D32" s="12" t="str">
        <f t="shared" si="3"/>
        <v>vis</v>
      </c>
      <c r="E32" s="48">
        <f>VLOOKUP(C32,Active!C$21:E$973,3,FALSE)</f>
        <v>-4290.5029698456501</v>
      </c>
      <c r="F32" s="3" t="s">
        <v>58</v>
      </c>
      <c r="G32" s="12" t="str">
        <f t="shared" si="4"/>
        <v>53287.3664</v>
      </c>
      <c r="H32" s="10">
        <f t="shared" si="5"/>
        <v>1626.5</v>
      </c>
      <c r="I32" s="49" t="s">
        <v>123</v>
      </c>
      <c r="J32" s="50" t="s">
        <v>124</v>
      </c>
      <c r="K32" s="49" t="s">
        <v>125</v>
      </c>
      <c r="L32" s="49" t="s">
        <v>126</v>
      </c>
      <c r="M32" s="50" t="s">
        <v>63</v>
      </c>
      <c r="N32" s="50" t="s">
        <v>88</v>
      </c>
      <c r="O32" s="51" t="s">
        <v>100</v>
      </c>
      <c r="P32" s="52" t="s">
        <v>66</v>
      </c>
    </row>
    <row r="33" spans="1:16" ht="12.75" customHeight="1" thickBot="1" x14ac:dyDescent="0.25">
      <c r="A33" s="10" t="str">
        <f t="shared" si="0"/>
        <v>BAVM R55 </v>
      </c>
      <c r="B33" s="3" t="str">
        <f t="shared" si="1"/>
        <v>II</v>
      </c>
      <c r="C33" s="10">
        <f t="shared" si="2"/>
        <v>53287.3698</v>
      </c>
      <c r="D33" s="12" t="str">
        <f t="shared" si="3"/>
        <v>vis</v>
      </c>
      <c r="E33" s="48">
        <f>VLOOKUP(C33,Active!C$21:E$973,3,FALSE)</f>
        <v>-4290.4959447116989</v>
      </c>
      <c r="F33" s="3" t="s">
        <v>58</v>
      </c>
      <c r="G33" s="12" t="str">
        <f t="shared" si="4"/>
        <v>53287.3698</v>
      </c>
      <c r="H33" s="10">
        <f t="shared" si="5"/>
        <v>1626.5</v>
      </c>
      <c r="I33" s="49" t="s">
        <v>127</v>
      </c>
      <c r="J33" s="50" t="s">
        <v>128</v>
      </c>
      <c r="K33" s="49" t="s">
        <v>125</v>
      </c>
      <c r="L33" s="49" t="s">
        <v>129</v>
      </c>
      <c r="M33" s="50" t="s">
        <v>63</v>
      </c>
      <c r="N33" s="50" t="s">
        <v>88</v>
      </c>
      <c r="O33" s="51" t="s">
        <v>100</v>
      </c>
      <c r="P33" s="52" t="s">
        <v>66</v>
      </c>
    </row>
    <row r="34" spans="1:16" ht="12.75" customHeight="1" thickBot="1" x14ac:dyDescent="0.25">
      <c r="A34" s="10" t="str">
        <f t="shared" si="0"/>
        <v>BAVM R55 </v>
      </c>
      <c r="B34" s="3" t="str">
        <f t="shared" si="1"/>
        <v>I</v>
      </c>
      <c r="C34" s="10">
        <f t="shared" si="2"/>
        <v>53287.603999999999</v>
      </c>
      <c r="D34" s="12" t="str">
        <f t="shared" si="3"/>
        <v>vis</v>
      </c>
      <c r="E34" s="48">
        <f>VLOOKUP(C34,Active!C$21:E$973,3,FALSE)</f>
        <v>-4290.0120369555934</v>
      </c>
      <c r="F34" s="3" t="s">
        <v>58</v>
      </c>
      <c r="G34" s="12" t="str">
        <f t="shared" si="4"/>
        <v>53287.6040</v>
      </c>
      <c r="H34" s="10">
        <f t="shared" si="5"/>
        <v>1627</v>
      </c>
      <c r="I34" s="49" t="s">
        <v>130</v>
      </c>
      <c r="J34" s="50" t="s">
        <v>131</v>
      </c>
      <c r="K34" s="49" t="s">
        <v>132</v>
      </c>
      <c r="L34" s="49" t="s">
        <v>133</v>
      </c>
      <c r="M34" s="50" t="s">
        <v>63</v>
      </c>
      <c r="N34" s="50" t="s">
        <v>88</v>
      </c>
      <c r="O34" s="51" t="s">
        <v>100</v>
      </c>
      <c r="P34" s="52" t="s">
        <v>66</v>
      </c>
    </row>
    <row r="35" spans="1:16" ht="12.75" customHeight="1" thickBot="1" x14ac:dyDescent="0.25">
      <c r="A35" s="10" t="str">
        <f t="shared" si="0"/>
        <v>BAVM R55 </v>
      </c>
      <c r="B35" s="3" t="str">
        <f t="shared" si="1"/>
        <v>II</v>
      </c>
      <c r="C35" s="10">
        <f t="shared" si="2"/>
        <v>53323.189100000003</v>
      </c>
      <c r="D35" s="12" t="str">
        <f t="shared" si="3"/>
        <v>vis</v>
      </c>
      <c r="E35" s="48">
        <f>VLOOKUP(C35,Active!C$21:E$973,3,FALSE)</f>
        <v>-4216.4855386983172</v>
      </c>
      <c r="F35" s="3" t="s">
        <v>58</v>
      </c>
      <c r="G35" s="12" t="str">
        <f t="shared" si="4"/>
        <v>53323.1891</v>
      </c>
      <c r="H35" s="10">
        <f t="shared" si="5"/>
        <v>1700.5</v>
      </c>
      <c r="I35" s="49" t="s">
        <v>134</v>
      </c>
      <c r="J35" s="50" t="s">
        <v>135</v>
      </c>
      <c r="K35" s="49" t="s">
        <v>136</v>
      </c>
      <c r="L35" s="49" t="s">
        <v>137</v>
      </c>
      <c r="M35" s="50" t="s">
        <v>63</v>
      </c>
      <c r="N35" s="50" t="s">
        <v>88</v>
      </c>
      <c r="O35" s="51" t="s">
        <v>100</v>
      </c>
      <c r="P35" s="52" t="s">
        <v>66</v>
      </c>
    </row>
    <row r="36" spans="1:16" ht="12.75" customHeight="1" thickBot="1" x14ac:dyDescent="0.25">
      <c r="A36" s="10" t="str">
        <f t="shared" si="0"/>
        <v>BAVM R55 </v>
      </c>
      <c r="B36" s="3" t="str">
        <f t="shared" si="1"/>
        <v>II</v>
      </c>
      <c r="C36" s="10">
        <f t="shared" si="2"/>
        <v>53614.532500000001</v>
      </c>
      <c r="D36" s="12" t="str">
        <f t="shared" si="3"/>
        <v>vis</v>
      </c>
      <c r="E36" s="48">
        <f>VLOOKUP(C36,Active!C$21:E$973,3,FALSE)</f>
        <v>-3614.5071828031105</v>
      </c>
      <c r="F36" s="3" t="s">
        <v>58</v>
      </c>
      <c r="G36" s="12" t="str">
        <f t="shared" si="4"/>
        <v>53614.5325</v>
      </c>
      <c r="H36" s="10">
        <f t="shared" si="5"/>
        <v>2302.5</v>
      </c>
      <c r="I36" s="49" t="s">
        <v>138</v>
      </c>
      <c r="J36" s="50" t="s">
        <v>139</v>
      </c>
      <c r="K36" s="49" t="s">
        <v>140</v>
      </c>
      <c r="L36" s="49" t="s">
        <v>141</v>
      </c>
      <c r="M36" s="50" t="s">
        <v>63</v>
      </c>
      <c r="N36" s="50" t="s">
        <v>88</v>
      </c>
      <c r="O36" s="51" t="s">
        <v>100</v>
      </c>
      <c r="P36" s="52" t="s">
        <v>66</v>
      </c>
    </row>
    <row r="37" spans="1:16" ht="12.75" customHeight="1" thickBot="1" x14ac:dyDescent="0.25">
      <c r="A37" s="10" t="str">
        <f t="shared" si="0"/>
        <v>BAVM R55 </v>
      </c>
      <c r="B37" s="3" t="str">
        <f t="shared" si="1"/>
        <v>II</v>
      </c>
      <c r="C37" s="10">
        <f t="shared" si="2"/>
        <v>53619.374799999998</v>
      </c>
      <c r="D37" s="12" t="str">
        <f t="shared" si="3"/>
        <v>vis</v>
      </c>
      <c r="E37" s="48">
        <f>VLOOKUP(C37,Active!C$21:E$973,3,FALSE)</f>
        <v>-3604.5019457091885</v>
      </c>
      <c r="F37" s="3" t="s">
        <v>58</v>
      </c>
      <c r="G37" s="12" t="str">
        <f t="shared" si="4"/>
        <v>53619.3748</v>
      </c>
      <c r="H37" s="10">
        <f t="shared" si="5"/>
        <v>2312.5</v>
      </c>
      <c r="I37" s="49" t="s">
        <v>142</v>
      </c>
      <c r="J37" s="50" t="s">
        <v>143</v>
      </c>
      <c r="K37" s="49" t="s">
        <v>144</v>
      </c>
      <c r="L37" s="49" t="s">
        <v>145</v>
      </c>
      <c r="M37" s="50" t="s">
        <v>63</v>
      </c>
      <c r="N37" s="50" t="s">
        <v>88</v>
      </c>
      <c r="O37" s="51" t="s">
        <v>100</v>
      </c>
      <c r="P37" s="52" t="s">
        <v>66</v>
      </c>
    </row>
    <row r="38" spans="1:16" ht="12.75" customHeight="1" thickBot="1" x14ac:dyDescent="0.25">
      <c r="A38" s="10" t="str">
        <f t="shared" si="0"/>
        <v>BAVM 193 </v>
      </c>
      <c r="B38" s="3" t="str">
        <f t="shared" si="1"/>
        <v>II</v>
      </c>
      <c r="C38" s="10">
        <f t="shared" si="2"/>
        <v>54405.3557</v>
      </c>
      <c r="D38" s="12" t="str">
        <f t="shared" si="3"/>
        <v>vis</v>
      </c>
      <c r="E38" s="48">
        <f>VLOOKUP(C38,Active!C$21:E$973,3,FALSE)</f>
        <v>-1980.4957387827938</v>
      </c>
      <c r="F38" s="3" t="s">
        <v>58</v>
      </c>
      <c r="G38" s="12" t="str">
        <f t="shared" si="4"/>
        <v>54405.3557</v>
      </c>
      <c r="H38" s="10">
        <f t="shared" si="5"/>
        <v>3936.5</v>
      </c>
      <c r="I38" s="49" t="s">
        <v>150</v>
      </c>
      <c r="J38" s="50" t="s">
        <v>151</v>
      </c>
      <c r="K38" s="49" t="s">
        <v>152</v>
      </c>
      <c r="L38" s="49" t="s">
        <v>153</v>
      </c>
      <c r="M38" s="50" t="s">
        <v>87</v>
      </c>
      <c r="N38" s="50" t="s">
        <v>88</v>
      </c>
      <c r="O38" s="51" t="s">
        <v>154</v>
      </c>
      <c r="P38" s="52" t="s">
        <v>155</v>
      </c>
    </row>
    <row r="39" spans="1:16" ht="12.75" customHeight="1" thickBot="1" x14ac:dyDescent="0.25">
      <c r="A39" s="10" t="str">
        <f t="shared" si="0"/>
        <v>BAVM 225 </v>
      </c>
      <c r="B39" s="3" t="str">
        <f t="shared" si="1"/>
        <v>I</v>
      </c>
      <c r="C39" s="10">
        <f t="shared" si="2"/>
        <v>55848.33</v>
      </c>
      <c r="D39" s="12" t="str">
        <f t="shared" si="3"/>
        <v>vis</v>
      </c>
      <c r="E39" s="48">
        <f>VLOOKUP(C39,Active!C$21:E$973,3,FALSE)</f>
        <v>1001.0006558945654</v>
      </c>
      <c r="F39" s="3" t="s">
        <v>58</v>
      </c>
      <c r="G39" s="12" t="str">
        <f t="shared" si="4"/>
        <v>55848.330</v>
      </c>
      <c r="H39" s="10">
        <f t="shared" si="5"/>
        <v>6918</v>
      </c>
      <c r="I39" s="49" t="s">
        <v>169</v>
      </c>
      <c r="J39" s="50" t="s">
        <v>170</v>
      </c>
      <c r="K39" s="49" t="s">
        <v>171</v>
      </c>
      <c r="L39" s="49" t="s">
        <v>172</v>
      </c>
      <c r="M39" s="50" t="s">
        <v>87</v>
      </c>
      <c r="N39" s="50" t="s">
        <v>88</v>
      </c>
      <c r="O39" s="51" t="s">
        <v>173</v>
      </c>
      <c r="P39" s="52" t="s">
        <v>174</v>
      </c>
    </row>
    <row r="40" spans="1:16" ht="12.75" customHeight="1" thickBot="1" x14ac:dyDescent="0.25">
      <c r="A40" s="10" t="str">
        <f t="shared" si="0"/>
        <v>IBVS 6011 </v>
      </c>
      <c r="B40" s="3" t="str">
        <f t="shared" si="1"/>
        <v>I</v>
      </c>
      <c r="C40" s="10">
        <f t="shared" si="2"/>
        <v>55853.654199999997</v>
      </c>
      <c r="D40" s="12" t="str">
        <f t="shared" si="3"/>
        <v>vis</v>
      </c>
      <c r="E40" s="48">
        <f>VLOOKUP(C40,Active!C$21:E$973,3,FALSE)</f>
        <v>1012.0016024149072</v>
      </c>
      <c r="F40" s="3" t="s">
        <v>58</v>
      </c>
      <c r="G40" s="12" t="str">
        <f t="shared" si="4"/>
        <v>55853.6542</v>
      </c>
      <c r="H40" s="10">
        <f t="shared" si="5"/>
        <v>6929</v>
      </c>
      <c r="I40" s="49" t="s">
        <v>175</v>
      </c>
      <c r="J40" s="50" t="s">
        <v>176</v>
      </c>
      <c r="K40" s="49" t="s">
        <v>177</v>
      </c>
      <c r="L40" s="49" t="s">
        <v>178</v>
      </c>
      <c r="M40" s="50" t="s">
        <v>87</v>
      </c>
      <c r="N40" s="50" t="s">
        <v>58</v>
      </c>
      <c r="O40" s="51" t="s">
        <v>160</v>
      </c>
      <c r="P40" s="52" t="s">
        <v>179</v>
      </c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</sheetData>
  <phoneticPr fontId="8" type="noConversion"/>
  <hyperlinks>
    <hyperlink ref="P17" r:id="rId1" display="http://www.bav-astro.de/sfs/BAVM_link.php?BAVMnr=R55"/>
    <hyperlink ref="P18" r:id="rId2" display="http://www.bav-astro.de/sfs/BAVM_link.php?BAVMnr=R55"/>
    <hyperlink ref="P19" r:id="rId3" display="http://www.bav-astro.de/sfs/BAVM_link.php?BAVMnr=R55"/>
    <hyperlink ref="P20" r:id="rId4" display="http://www.bav-astro.de/sfs/BAVM_link.php?BAVMnr=R55"/>
    <hyperlink ref="P21" r:id="rId5" display="http://www.bav-astro.de/sfs/BAVM_link.php?BAVMnr=R55"/>
    <hyperlink ref="P22" r:id="rId6" display="http://www.bav-astro.de/sfs/BAVM_link.php?BAVMnr=R55"/>
    <hyperlink ref="P23" r:id="rId7" display="http://www.bav-astro.de/sfs/BAVM_link.php?BAVMnr=R55"/>
    <hyperlink ref="P11" r:id="rId8" display="http://www.bav-astro.de/sfs/BAVM_link.php?BAVMnr=183"/>
    <hyperlink ref="P24" r:id="rId9" display="http://www.bav-astro.de/sfs/BAVM_link.php?BAVMnr=R55"/>
    <hyperlink ref="P25" r:id="rId10" display="http://www.bav-astro.de/sfs/BAVM_link.php?BAVMnr=R55"/>
    <hyperlink ref="P26" r:id="rId11" display="http://www.bav-astro.de/sfs/BAVM_link.php?BAVMnr=R55"/>
    <hyperlink ref="P27" r:id="rId12" display="http://www.bav-astro.de/sfs/BAVM_link.php?BAVMnr=R55"/>
    <hyperlink ref="P28" r:id="rId13" display="http://www.bav-astro.de/sfs/BAVM_link.php?BAVMnr=R55"/>
    <hyperlink ref="P29" r:id="rId14" display="http://www.bav-astro.de/sfs/BAVM_link.php?BAVMnr=R55"/>
    <hyperlink ref="P30" r:id="rId15" display="http://www.bav-astro.de/sfs/BAVM_link.php?BAVMnr=R55"/>
    <hyperlink ref="P31" r:id="rId16" display="http://www.bav-astro.de/sfs/BAVM_link.php?BAVMnr=R55"/>
    <hyperlink ref="P32" r:id="rId17" display="http://www.bav-astro.de/sfs/BAVM_link.php?BAVMnr=R55"/>
    <hyperlink ref="P33" r:id="rId18" display="http://www.bav-astro.de/sfs/BAVM_link.php?BAVMnr=R55"/>
    <hyperlink ref="P34" r:id="rId19" display="http://www.bav-astro.de/sfs/BAVM_link.php?BAVMnr=R55"/>
    <hyperlink ref="P35" r:id="rId20" display="http://www.bav-astro.de/sfs/BAVM_link.php?BAVMnr=R55"/>
    <hyperlink ref="P36" r:id="rId21" display="http://www.bav-astro.de/sfs/BAVM_link.php?BAVMnr=R55"/>
    <hyperlink ref="P37" r:id="rId22" display="http://www.bav-astro.de/sfs/BAVM_link.php?BAVMnr=R55"/>
    <hyperlink ref="P12" r:id="rId23" display="http://www.bav-astro.de/sfs/BAVM_link.php?BAVMnr=183"/>
    <hyperlink ref="P38" r:id="rId24" display="http://www.bav-astro.de/sfs/BAVM_link.php?BAVMnr=193"/>
    <hyperlink ref="P13" r:id="rId25" display="http://www.konkoly.hu/cgi-bin/IBVS?5920"/>
    <hyperlink ref="P14" r:id="rId26" display="http://www.konkoly.hu/cgi-bin/IBVS?5966"/>
    <hyperlink ref="P39" r:id="rId27" display="http://www.bav-astro.de/sfs/BAVM_link.php?BAVMnr=225"/>
    <hyperlink ref="P40" r:id="rId28" display="http://www.konkoly.hu/cgi-bin/IBVS?6011"/>
    <hyperlink ref="P15" r:id="rId29" display="http://www.konkoly.hu/cgi-bin/IBVS?6042"/>
    <hyperlink ref="P16" r:id="rId30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2023-01-13T04:54:56Z</dcterms:modified>
</cp:coreProperties>
</file>