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F71F687-BE71-471D-B07C-1C703EDD0EF7}" xr6:coauthVersionLast="47" xr6:coauthVersionMax="47" xr10:uidLastSave="{00000000-0000-0000-0000-000000000000}"/>
  <bookViews>
    <workbookView xWindow="13410" yWindow="585" windowWidth="12975" windowHeight="146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Q41" i="1"/>
  <c r="E42" i="1"/>
  <c r="F42" i="1" s="1"/>
  <c r="Q42" i="1"/>
  <c r="Q40" i="1"/>
  <c r="D11" i="1"/>
  <c r="D12" i="1"/>
  <c r="Q38" i="1"/>
  <c r="D9" i="1"/>
  <c r="C9" i="1"/>
  <c r="Q39" i="1"/>
  <c r="Q34" i="1"/>
  <c r="Q37" i="1"/>
  <c r="C7" i="1"/>
  <c r="C8" i="1"/>
  <c r="E40" i="1" s="1"/>
  <c r="F40" i="1" s="1"/>
  <c r="D13" i="1"/>
  <c r="W2" i="1" s="1"/>
  <c r="Q30" i="1"/>
  <c r="Q35" i="1"/>
  <c r="G11" i="2"/>
  <c r="C11" i="2" s="1"/>
  <c r="E11" i="2" s="1"/>
  <c r="G16" i="2"/>
  <c r="C16" i="2"/>
  <c r="G21" i="2"/>
  <c r="C21" i="2" s="1"/>
  <c r="E21" i="2" s="1"/>
  <c r="G20" i="2"/>
  <c r="C20" i="2" s="1"/>
  <c r="E20" i="2" s="1"/>
  <c r="G15" i="2"/>
  <c r="C15" i="2"/>
  <c r="G19" i="2"/>
  <c r="C19" i="2" s="1"/>
  <c r="E19" i="2" s="1"/>
  <c r="G14" i="2"/>
  <c r="C14" i="2"/>
  <c r="G13" i="2"/>
  <c r="C13" i="2" s="1"/>
  <c r="G12" i="2"/>
  <c r="C12" i="2" s="1"/>
  <c r="E12" i="2" s="1"/>
  <c r="G18" i="2"/>
  <c r="C18" i="2"/>
  <c r="E18" i="2"/>
  <c r="G17" i="2"/>
  <c r="C17" i="2" s="1"/>
  <c r="E17" i="2" s="1"/>
  <c r="H11" i="2"/>
  <c r="B11" i="2" s="1"/>
  <c r="D11" i="2"/>
  <c r="A11" i="2"/>
  <c r="H16" i="2"/>
  <c r="B16" i="2" s="1"/>
  <c r="D16" i="2"/>
  <c r="A16" i="2"/>
  <c r="H21" i="2"/>
  <c r="B21" i="2" s="1"/>
  <c r="D21" i="2"/>
  <c r="A21" i="2"/>
  <c r="H20" i="2"/>
  <c r="B20" i="2" s="1"/>
  <c r="D20" i="2"/>
  <c r="A20" i="2"/>
  <c r="H15" i="2"/>
  <c r="B15" i="2" s="1"/>
  <c r="D15" i="2"/>
  <c r="A15" i="2"/>
  <c r="H19" i="2"/>
  <c r="B19" i="2" s="1"/>
  <c r="D19" i="2"/>
  <c r="A19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8" i="2"/>
  <c r="B18" i="2" s="1"/>
  <c r="D18" i="2"/>
  <c r="A18" i="2"/>
  <c r="H17" i="2"/>
  <c r="B17" i="2" s="1"/>
  <c r="D17" i="2"/>
  <c r="A17" i="2"/>
  <c r="Q36" i="1"/>
  <c r="Q33" i="1"/>
  <c r="Q32" i="1"/>
  <c r="Q27" i="1"/>
  <c r="D14" i="1"/>
  <c r="Q31" i="1"/>
  <c r="Q29" i="1"/>
  <c r="Q21" i="1"/>
  <c r="Q28" i="1"/>
  <c r="Q26" i="1"/>
  <c r="Q25" i="1"/>
  <c r="F16" i="1"/>
  <c r="F17" i="1" s="1"/>
  <c r="C17" i="1"/>
  <c r="Q24" i="1"/>
  <c r="Q22" i="1"/>
  <c r="Q23" i="1"/>
  <c r="E32" i="1"/>
  <c r="F32" i="1"/>
  <c r="P32" i="1"/>
  <c r="R32" i="1" s="1"/>
  <c r="T32" i="1" s="1"/>
  <c r="E30" i="1"/>
  <c r="F30" i="1" s="1"/>
  <c r="E37" i="1"/>
  <c r="F37" i="1"/>
  <c r="E27" i="1"/>
  <c r="F27" i="1" s="1"/>
  <c r="E34" i="1"/>
  <c r="F34" i="1" s="1"/>
  <c r="E23" i="1"/>
  <c r="F23" i="1" s="1"/>
  <c r="E29" i="1"/>
  <c r="F29" i="1" s="1"/>
  <c r="E36" i="1"/>
  <c r="F36" i="1"/>
  <c r="P36" i="1"/>
  <c r="R36" i="1" s="1"/>
  <c r="T36" i="1" s="1"/>
  <c r="E38" i="1"/>
  <c r="F38" i="1"/>
  <c r="G38" i="1" s="1"/>
  <c r="K38" i="1" s="1"/>
  <c r="P38" i="1"/>
  <c r="R38" i="1" s="1"/>
  <c r="T38" i="1" s="1"/>
  <c r="E26" i="1"/>
  <c r="F26" i="1"/>
  <c r="P26" i="1" s="1"/>
  <c r="E33" i="1"/>
  <c r="F33" i="1"/>
  <c r="P33" i="1" s="1"/>
  <c r="E31" i="1"/>
  <c r="F31" i="1"/>
  <c r="G31" i="1" s="1"/>
  <c r="L31" i="1" s="1"/>
  <c r="E22" i="1"/>
  <c r="F22" i="1"/>
  <c r="P22" i="1" s="1"/>
  <c r="E24" i="1"/>
  <c r="F24" i="1" s="1"/>
  <c r="P37" i="1"/>
  <c r="R37" i="1" s="1"/>
  <c r="T37" i="1" s="1"/>
  <c r="E39" i="1"/>
  <c r="F39" i="1"/>
  <c r="P39" i="1" s="1"/>
  <c r="R39" i="1" s="1"/>
  <c r="T39" i="1" s="1"/>
  <c r="E21" i="1"/>
  <c r="F21" i="1"/>
  <c r="P21" i="1" s="1"/>
  <c r="R21" i="1" s="1"/>
  <c r="T21" i="1" s="1"/>
  <c r="E28" i="1"/>
  <c r="F28" i="1" s="1"/>
  <c r="G37" i="1"/>
  <c r="L37" i="1" s="1"/>
  <c r="E35" i="1"/>
  <c r="F35" i="1"/>
  <c r="P35" i="1" s="1"/>
  <c r="R35" i="1" s="1"/>
  <c r="T35" i="1" s="1"/>
  <c r="G21" i="1"/>
  <c r="H21" i="1" s="1"/>
  <c r="G32" i="1"/>
  <c r="G36" i="1"/>
  <c r="L36" i="1" s="1"/>
  <c r="G35" i="1"/>
  <c r="J35" i="1" s="1"/>
  <c r="G39" i="1"/>
  <c r="L39" i="1"/>
  <c r="E16" i="2"/>
  <c r="J32" i="1"/>
  <c r="P42" i="1" l="1"/>
  <c r="G42" i="1"/>
  <c r="L42" i="1" s="1"/>
  <c r="G41" i="1"/>
  <c r="L41" i="1" s="1"/>
  <c r="P41" i="1"/>
  <c r="R41" i="1" s="1"/>
  <c r="T41" i="1" s="1"/>
  <c r="G23" i="1"/>
  <c r="K23" i="1" s="1"/>
  <c r="P23" i="1"/>
  <c r="P24" i="1"/>
  <c r="G24" i="1"/>
  <c r="L24" i="1" s="1"/>
  <c r="P28" i="1"/>
  <c r="G28" i="1"/>
  <c r="L28" i="1" s="1"/>
  <c r="P27" i="1"/>
  <c r="U27" i="1"/>
  <c r="P34" i="1"/>
  <c r="R34" i="1" s="1"/>
  <c r="T34" i="1" s="1"/>
  <c r="G34" i="1"/>
  <c r="K34" i="1" s="1"/>
  <c r="P30" i="1"/>
  <c r="G30" i="1"/>
  <c r="K30" i="1" s="1"/>
  <c r="P40" i="1"/>
  <c r="G40" i="1"/>
  <c r="L40" i="1" s="1"/>
  <c r="G29" i="1"/>
  <c r="L29" i="1" s="1"/>
  <c r="P29" i="1"/>
  <c r="R29" i="1" s="1"/>
  <c r="T29" i="1" s="1"/>
  <c r="E13" i="2"/>
  <c r="E25" i="1"/>
  <c r="F25" i="1" s="1"/>
  <c r="G33" i="1"/>
  <c r="E14" i="2"/>
  <c r="E15" i="2"/>
  <c r="G22" i="1"/>
  <c r="K22" i="1" s="1"/>
  <c r="D16" i="1"/>
  <c r="D19" i="1" s="1"/>
  <c r="P31" i="1"/>
  <c r="R31" i="1" s="1"/>
  <c r="T31" i="1" s="1"/>
  <c r="D15" i="1"/>
  <c r="C19" i="1" s="1"/>
  <c r="G26" i="1"/>
  <c r="K26" i="1" s="1"/>
  <c r="C11" i="1"/>
  <c r="C12" i="1"/>
  <c r="O42" i="1" l="1"/>
  <c r="O41" i="1"/>
  <c r="R42" i="1"/>
  <c r="T42" i="1" s="1"/>
  <c r="C16" i="1"/>
  <c r="D18" i="1" s="1"/>
  <c r="O22" i="1"/>
  <c r="O40" i="1"/>
  <c r="C15" i="1"/>
  <c r="O30" i="1"/>
  <c r="O39" i="1"/>
  <c r="O29" i="1"/>
  <c r="O38" i="1"/>
  <c r="O25" i="1"/>
  <c r="O27" i="1"/>
  <c r="O23" i="1"/>
  <c r="O33" i="1"/>
  <c r="O34" i="1"/>
  <c r="O28" i="1"/>
  <c r="O36" i="1"/>
  <c r="O31" i="1"/>
  <c r="O35" i="1"/>
  <c r="O21" i="1"/>
  <c r="O37" i="1"/>
  <c r="O26" i="1"/>
  <c r="O24" i="1"/>
  <c r="O32" i="1"/>
  <c r="K33" i="1"/>
  <c r="R40" i="1"/>
  <c r="T40" i="1" s="1"/>
  <c r="R27" i="1"/>
  <c r="P25" i="1"/>
  <c r="R25" i="1" s="1"/>
  <c r="T25" i="1" s="1"/>
  <c r="G25" i="1"/>
  <c r="K25" i="1" s="1"/>
  <c r="R30" i="1"/>
  <c r="T30" i="1" s="1"/>
  <c r="R28" i="1"/>
  <c r="T28" i="1" s="1"/>
  <c r="R33" i="1"/>
  <c r="T33" i="1" s="1"/>
  <c r="R24" i="1"/>
  <c r="T24" i="1" s="1"/>
  <c r="R26" i="1"/>
  <c r="T26" i="1" s="1"/>
  <c r="R23" i="1"/>
  <c r="T23" i="1" s="1"/>
  <c r="R22" i="1"/>
  <c r="T22" i="1" s="1"/>
  <c r="C18" i="1" l="1"/>
  <c r="F18" i="1"/>
  <c r="F19" i="1" s="1"/>
  <c r="E14" i="1"/>
</calcChain>
</file>

<file path=xl/sharedStrings.xml><?xml version="1.0" encoding="utf-8"?>
<sst xmlns="http://schemas.openxmlformats.org/spreadsheetml/2006/main" count="216" uniqueCount="154">
  <si>
    <t>IBVS 6244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</si>
  <si>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</si>
  <si>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</si>
  <si>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</si>
  <si>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</si>
  <si>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</si>
  <si>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</si>
  <si>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</si>
  <si>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</si>
  <si>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</si>
  <si>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</si>
  <si>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</si>
  <si>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</si>
  <si>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</si>
  <si>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</si>
  <si>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</si>
  <si>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</si>
  <si>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</si>
  <si>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</si>
  <si>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</si>
  <si>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</si>
  <si>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</si>
  <si>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</si>
  <si>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</si>
  <si>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</si>
  <si>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</si>
  <si>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</si>
  <si>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</si>
  <si>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</si>
  <si>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</si>
  <si>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</si>
  <si>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</si>
  <si>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</si>
  <si>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</si>
  <si>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</si>
  <si>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</si>
  <si>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V2197 Cyg / GSC 3167-1279               </t>
  </si>
  <si>
    <t xml:space="preserve">E         </t>
  </si>
  <si>
    <t>IBVS 5806</t>
  </si>
  <si>
    <t>II</t>
  </si>
  <si>
    <t>Add cycle</t>
  </si>
  <si>
    <t>Old Cycle</t>
  </si>
  <si>
    <t>IBVS 5929</t>
  </si>
  <si>
    <t>OEJV 0137</t>
  </si>
  <si>
    <t>IBVS 5997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</si>
  <si>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</si>
  <si>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</si>
  <si>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</si>
  <si>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</si>
  <si>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</si>
  <si>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</si>
  <si>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IBVS 6050</t>
  </si>
  <si>
    <t>IBVS 6048</t>
  </si>
  <si>
    <t>BAD?</t>
  </si>
  <si>
    <t>IBVS 6149</t>
  </si>
  <si>
    <t>OEJV 0168</t>
  </si>
  <si>
    <t>2015-12-17 Period confirmed by ToMcat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</si>
  <si>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</si>
  <si>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</si>
  <si>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</si>
  <si>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</si>
  <si>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</si>
  <si>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</si>
  <si>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</si>
  <si>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</si>
  <si>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</si>
  <si>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</si>
  <si>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</si>
  <si>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</si>
  <si>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2453972.6656 </t>
  </si>
  <si>
    <t> 25.08.2006 03:58 </t>
  </si>
  <si>
    <t> -0.0002 </t>
  </si>
  <si>
    <t>C </t>
  </si>
  <si>
    <t>o</t>
  </si>
  <si>
    <t> T.Krajci </t>
  </si>
  <si>
    <t>IBVS 5806 </t>
  </si>
  <si>
    <t>2453976.6248 </t>
  </si>
  <si>
    <t> 29.08.2006 02:59 </t>
  </si>
  <si>
    <t> 0.0001 </t>
  </si>
  <si>
    <t>2454951.9013 </t>
  </si>
  <si>
    <t> 30.04.2009 09:37 </t>
  </si>
  <si>
    <t> -0.0016 </t>
  </si>
  <si>
    <t>R</t>
  </si>
  <si>
    <t> R.Nelson </t>
  </si>
  <si>
    <t>IBVS 5929 </t>
  </si>
  <si>
    <t>2455309.59784 </t>
  </si>
  <si>
    <t> 23.04.2010 02:20 </t>
  </si>
  <si>
    <t> -0.00022 </t>
  </si>
  <si>
    <t> J.Trnka </t>
  </si>
  <si>
    <t>2455833.3278 </t>
  </si>
  <si>
    <t> 28.09.2011 19:52 </t>
  </si>
  <si>
    <t> -0.0049 </t>
  </si>
  <si>
    <t> P.Frank </t>
  </si>
  <si>
    <t>BAVM 228 </t>
  </si>
  <si>
    <t>2456143.7546 </t>
  </si>
  <si>
    <t> 04.08.2012 06:06 </t>
  </si>
  <si>
    <t> 0.0003 </t>
  </si>
  <si>
    <t>m</t>
  </si>
  <si>
    <t>IBVS 6050 </t>
  </si>
  <si>
    <t>2456146.7823 </t>
  </si>
  <si>
    <t> 07.08.2012 06:46 </t>
  </si>
  <si>
    <t> 0.0006 </t>
  </si>
  <si>
    <t>2456147.0151 </t>
  </si>
  <si>
    <t> 07.08.2012 12:21 </t>
  </si>
  <si>
    <t> 0.0005 </t>
  </si>
  <si>
    <t>cG</t>
  </si>
  <si>
    <t> K.Hirosawa </t>
  </si>
  <si>
    <t>VSB 55 </t>
  </si>
  <si>
    <t>2456149.8858 </t>
  </si>
  <si>
    <t> 10.08.2012 09:15 </t>
  </si>
  <si>
    <t> 0.0767 </t>
  </si>
  <si>
    <t>2456814.4311 </t>
  </si>
  <si>
    <t> 05.06.2014 22:20 </t>
  </si>
  <si>
    <t> -0.0017 </t>
  </si>
  <si>
    <t>-I</t>
  </si>
  <si>
    <t> F.Agerer </t>
  </si>
  <si>
    <t>BAVM 238 </t>
  </si>
  <si>
    <t>2457208.4558 </t>
  </si>
  <si>
    <t> 04.07.2015 22:56 </t>
  </si>
  <si>
    <t>10109</t>
  </si>
  <si>
    <t> -0.0005 </t>
  </si>
  <si>
    <t>BAVM 241 (=IBVS 6157) 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</si>
  <si>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</si>
  <si>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</si>
  <si>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</si>
  <si>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</si>
  <si>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</si>
  <si>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</si>
  <si>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</si>
  <si>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</si>
  <si>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</si>
  <si>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</si>
  <si>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</si>
  <si>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</si>
  <si>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</si>
  <si>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</si>
  <si>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</si>
  <si>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</si>
  <si>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</si>
  <si>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</si>
  <si>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</si>
  <si>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</si>
  <si>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</si>
  <si>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</si>
  <si>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</si>
  <si>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</si>
  <si>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Nelson</t>
  </si>
  <si>
    <t>IBVS 6195</t>
  </si>
  <si>
    <t>OEJV 0179</t>
  </si>
  <si>
    <t>IBVS 6234</t>
  </si>
  <si>
    <t>IBVS 6262</t>
  </si>
  <si>
    <t>RHN 2020</t>
  </si>
  <si>
    <t>IBVS, 63, 6262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</si>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</sst>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1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3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quotePrefix="1" applyFont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20" fillId="0" borderId="16" xfId="0" applyFont="1" applyBorder="1" applyAlignment="1"/>
    <xf numFmtId="0" fontId="20" fillId="0" borderId="17" xfId="0" applyFont="1" applyBorder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8" xfId="0" applyFill="1" applyBorder="1" applyAlignment="1"/>
    <xf numFmtId="0" fontId="26" fillId="0" borderId="2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Continuous"/>
    </xf>
    <xf numFmtId="0" fontId="41" fillId="0" borderId="0" xfId="42" applyFont="1" applyAlignment="1">
      <alignment horizontal="left"/>
    </xf>
    <xf numFmtId="0" fontId="0" fillId="0" borderId="0" xfId="0" applyFill="1" applyAlignment="1"/>
    <xf numFmtId="0" fontId="0" fillId="0" borderId="8" xfId="0" applyBorder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6" fontId="4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5-43F9-B8D2-325DD452D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5-43F9-B8D2-325DD452D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5-43F9-B8D2-325DD452D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5-43F9-B8D2-325DD452D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-1.2800600015907548E-3</c:v>
                </c:pt>
                <c:pt idx="20">
                  <c:v>-1.4092799974605441E-3</c:v>
                </c:pt>
                <c:pt idx="21">
                  <c:v>-1.0749599969130941E-3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5-43F9-B8D2-325DD452D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5-43F9-B8D2-325DD452D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5-43F9-B8D2-325DD452D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3.1635227354119165E-3</c:v>
                </c:pt>
                <c:pt idx="1">
                  <c:v>2.1718001373670897E-3</c:v>
                </c:pt>
                <c:pt idx="2">
                  <c:v>2.1691337947818039E-3</c:v>
                </c:pt>
                <c:pt idx="3">
                  <c:v>1.5122724567125747E-3</c:v>
                </c:pt>
                <c:pt idx="4">
                  <c:v>1.271360561947929E-3</c:v>
                </c:pt>
                <c:pt idx="5">
                  <c:v>9.7178913030699591E-4</c:v>
                </c:pt>
                <c:pt idx="6">
                  <c:v>9.1861912228276754E-4</c:v>
                </c:pt>
                <c:pt idx="7">
                  <c:v>7.0954649486006409E-4</c:v>
                </c:pt>
                <c:pt idx="8">
                  <c:v>7.0750752700072779E-4</c:v>
                </c:pt>
                <c:pt idx="9">
                  <c:v>7.0735068331924042E-4</c:v>
                </c:pt>
                <c:pt idx="10">
                  <c:v>7.054685591413915E-4</c:v>
                </c:pt>
                <c:pt idx="11">
                  <c:v>2.5783669217635356E-4</c:v>
                </c:pt>
                <c:pt idx="12">
                  <c:v>2.1470467976731841E-4</c:v>
                </c:pt>
                <c:pt idx="13">
                  <c:v>1.7502322835100635E-4</c:v>
                </c:pt>
                <c:pt idx="14">
                  <c:v>-7.5428169003266023E-6</c:v>
                </c:pt>
                <c:pt idx="15">
                  <c:v>-2.1394910173774427E-4</c:v>
                </c:pt>
                <c:pt idx="16">
                  <c:v>-4.8466129598499557E-4</c:v>
                </c:pt>
                <c:pt idx="17">
                  <c:v>-4.8842554434069341E-4</c:v>
                </c:pt>
                <c:pt idx="18">
                  <c:v>-7.4125755889838151E-4</c:v>
                </c:pt>
                <c:pt idx="19">
                  <c:v>-1.2033190445602604E-3</c:v>
                </c:pt>
                <c:pt idx="20">
                  <c:v>-7.4125755889838151E-4</c:v>
                </c:pt>
                <c:pt idx="21">
                  <c:v>-1.7412928720620408E-3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5-43F9-B8D2-325DD452D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85-43F9-B8D2-325DD452DD3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485-43F9-B8D2-325DD452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8016"/>
        <c:axId val="1"/>
      </c:scatterChart>
      <c:valAx>
        <c:axId val="76441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87218045112782"/>
          <c:y val="0.92441860465116277"/>
          <c:w val="0.8436090225563910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795924080918456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7296446237838"/>
          <c:y val="0.13913082860855019"/>
          <c:w val="0.82585143740890388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C-4921-B7EC-10CFAE647D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3C-4921-B7EC-10CFAE647D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3C-4921-B7EC-10CFAE647D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3C-4921-B7EC-10CFAE647D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-1.2800600015907548E-3</c:v>
                </c:pt>
                <c:pt idx="20">
                  <c:v>-1.4092799974605441E-3</c:v>
                </c:pt>
                <c:pt idx="21">
                  <c:v>-1.0749599969130941E-3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3C-4921-B7EC-10CFAE647D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3C-4921-B7EC-10CFAE647D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3C-4921-B7EC-10CFAE647D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3.1635227354119165E-3</c:v>
                </c:pt>
                <c:pt idx="1">
                  <c:v>2.1718001373670897E-3</c:v>
                </c:pt>
                <c:pt idx="2">
                  <c:v>2.1691337947818039E-3</c:v>
                </c:pt>
                <c:pt idx="3">
                  <c:v>1.5122724567125747E-3</c:v>
                </c:pt>
                <c:pt idx="4">
                  <c:v>1.271360561947929E-3</c:v>
                </c:pt>
                <c:pt idx="5">
                  <c:v>9.7178913030699591E-4</c:v>
                </c:pt>
                <c:pt idx="6">
                  <c:v>9.1861912228276754E-4</c:v>
                </c:pt>
                <c:pt idx="7">
                  <c:v>7.0954649486006409E-4</c:v>
                </c:pt>
                <c:pt idx="8">
                  <c:v>7.0750752700072779E-4</c:v>
                </c:pt>
                <c:pt idx="9">
                  <c:v>7.0735068331924042E-4</c:v>
                </c:pt>
                <c:pt idx="10">
                  <c:v>7.054685591413915E-4</c:v>
                </c:pt>
                <c:pt idx="11">
                  <c:v>2.5783669217635356E-4</c:v>
                </c:pt>
                <c:pt idx="12">
                  <c:v>2.1470467976731841E-4</c:v>
                </c:pt>
                <c:pt idx="13">
                  <c:v>1.7502322835100635E-4</c:v>
                </c:pt>
                <c:pt idx="14">
                  <c:v>-7.5428169003266023E-6</c:v>
                </c:pt>
                <c:pt idx="15">
                  <c:v>-2.1394910173774427E-4</c:v>
                </c:pt>
                <c:pt idx="16">
                  <c:v>-4.8466129598499557E-4</c:v>
                </c:pt>
                <c:pt idx="17">
                  <c:v>-4.8842554434069341E-4</c:v>
                </c:pt>
                <c:pt idx="18">
                  <c:v>-7.4125755889838151E-4</c:v>
                </c:pt>
                <c:pt idx="19">
                  <c:v>-1.2033190445602604E-3</c:v>
                </c:pt>
                <c:pt idx="20">
                  <c:v>-7.4125755889838151E-4</c:v>
                </c:pt>
                <c:pt idx="21">
                  <c:v>-1.7412928720620408E-3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3C-4921-B7EC-10CFAE647D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3C-4921-B7EC-10CFAE647D8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A3C-4921-B7EC-10CFAE647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43600"/>
        <c:axId val="1"/>
      </c:scatterChart>
      <c:valAx>
        <c:axId val="76444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9187065902476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4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39484350170513"/>
          <c:y val="0.92464041994750656"/>
          <c:w val="0.7632663059974645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1727422961019"/>
          <c:y val="6.5700787401574798E-2"/>
          <c:w val="0.84740863340369421"/>
          <c:h val="0.77391523413506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D-486B-A7D9-9CE0B5239B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FD-486B-A7D9-9CE0B5239B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FD-486B-A7D9-9CE0B5239B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FD-486B-A7D9-9CE0B5239B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-1.2800600015907548E-3</c:v>
                </c:pt>
                <c:pt idx="20">
                  <c:v>-1.4092799974605441E-3</c:v>
                </c:pt>
                <c:pt idx="21">
                  <c:v>-1.0749599969130941E-3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FD-486B-A7D9-9CE0B5239B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FD-486B-A7D9-9CE0B5239B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FD-486B-A7D9-9CE0B5239B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3.1635227354119165E-3</c:v>
                </c:pt>
                <c:pt idx="1">
                  <c:v>2.1718001373670897E-3</c:v>
                </c:pt>
                <c:pt idx="2">
                  <c:v>2.1691337947818039E-3</c:v>
                </c:pt>
                <c:pt idx="3">
                  <c:v>1.5122724567125747E-3</c:v>
                </c:pt>
                <c:pt idx="4">
                  <c:v>1.271360561947929E-3</c:v>
                </c:pt>
                <c:pt idx="5">
                  <c:v>9.7178913030699591E-4</c:v>
                </c:pt>
                <c:pt idx="6">
                  <c:v>9.1861912228276754E-4</c:v>
                </c:pt>
                <c:pt idx="7">
                  <c:v>7.0954649486006409E-4</c:v>
                </c:pt>
                <c:pt idx="8">
                  <c:v>7.0750752700072779E-4</c:v>
                </c:pt>
                <c:pt idx="9">
                  <c:v>7.0735068331924042E-4</c:v>
                </c:pt>
                <c:pt idx="10">
                  <c:v>7.054685591413915E-4</c:v>
                </c:pt>
                <c:pt idx="11">
                  <c:v>2.5783669217635356E-4</c:v>
                </c:pt>
                <c:pt idx="12">
                  <c:v>2.1470467976731841E-4</c:v>
                </c:pt>
                <c:pt idx="13">
                  <c:v>1.7502322835100635E-4</c:v>
                </c:pt>
                <c:pt idx="14">
                  <c:v>-7.5428169003266023E-6</c:v>
                </c:pt>
                <c:pt idx="15">
                  <c:v>-2.1394910173774427E-4</c:v>
                </c:pt>
                <c:pt idx="16">
                  <c:v>-4.8466129598499557E-4</c:v>
                </c:pt>
                <c:pt idx="17">
                  <c:v>-4.8842554434069341E-4</c:v>
                </c:pt>
                <c:pt idx="18">
                  <c:v>-7.4125755889838151E-4</c:v>
                </c:pt>
                <c:pt idx="19">
                  <c:v>-1.2033190445602604E-3</c:v>
                </c:pt>
                <c:pt idx="20">
                  <c:v>-7.4125755889838151E-4</c:v>
                </c:pt>
                <c:pt idx="21">
                  <c:v>-1.7412928720620408E-3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FD-486B-A7D9-9CE0B5239B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13921</c:v>
                </c:pt>
                <c:pt idx="20">
                  <c:v>12448</c:v>
                </c:pt>
                <c:pt idx="21">
                  <c:v>15636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FD-486B-A7D9-9CE0B5239BE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FD-486B-A7D9-9CE0B523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6704"/>
        <c:axId val="1"/>
      </c:scatterChart>
      <c:valAx>
        <c:axId val="764416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779022066686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0.3362327969873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2B5362B-C9E1-09D3-632A-55AB09C8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390525</xdr:colOff>
      <xdr:row>19</xdr:row>
      <xdr:rowOff>57150</xdr:rowOff>
    </xdr:from>
    <xdr:to>
      <xdr:col>31</xdr:col>
      <xdr:colOff>533400</xdr:colOff>
      <xdr:row>39</xdr:row>
      <xdr:rowOff>28575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11BB0599-A1E1-2404-1E8A-E72E8B648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561975</xdr:colOff>
      <xdr:row>19</xdr:row>
      <xdr:rowOff>9525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B16D9BF2-E1FF-600A-7BA7-BADBB9C2A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806" TargetMode="External"/><Relationship Id="rId6" Type="http://schemas.openxmlformats.org/officeDocument/2006/relationships/hyperlink" Target="http://www.konkoly.hu/cgi-bin/IBVS?6050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929" TargetMode="External"/><Relationship Id="rId9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6917"/>
  <sheetViews>
    <sheetView tabSelected="1" topLeftCell="A7" workbookViewId="0">
      <selection activeCell="F15" sqref="F1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10.7109375" customWidth="1"/>
    <col min="5" max="5" width="11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>
      <c r="A1" s="1" t="s">
        <v>36</v>
      </c>
      <c r="F1" s="3">
        <v>52500.200799999999</v>
      </c>
      <c r="G1" s="3">
        <v>0.46574885999999999</v>
      </c>
      <c r="H1" s="3" t="s">
        <v>37</v>
      </c>
      <c r="V1" s="4" t="s">
        <v>9</v>
      </c>
      <c r="W1" s="6" t="s">
        <v>20</v>
      </c>
      <c r="Y1">
        <v>0</v>
      </c>
      <c r="Z1">
        <v>0</v>
      </c>
    </row>
    <row r="2" spans="1:26">
      <c r="A2" t="s">
        <v>22</v>
      </c>
      <c r="B2" t="s">
        <v>37</v>
      </c>
      <c r="C2" s="3"/>
      <c r="D2" s="3"/>
      <c r="V2" s="41">
        <v>0</v>
      </c>
      <c r="W2" s="41">
        <f>+D$11+D$12*V2+D$13*V2^2</f>
        <v>5.5263682671523392E-5</v>
      </c>
      <c r="Y2">
        <v>3161.5</v>
      </c>
      <c r="Z2">
        <v>-2.2089004778536037E-4</v>
      </c>
    </row>
    <row r="3" spans="1:26" ht="13.5" thickBot="1">
      <c r="C3" s="27" t="s">
        <v>33</v>
      </c>
      <c r="V3" s="41">
        <v>500</v>
      </c>
      <c r="W3" s="41"/>
      <c r="Y3">
        <v>3170</v>
      </c>
      <c r="Z3">
        <v>1.1379987699910998E-4</v>
      </c>
    </row>
    <row r="4" spans="1:26" ht="14.25" thickTop="1" thickBot="1">
      <c r="A4" s="5" t="s">
        <v>35</v>
      </c>
      <c r="C4" s="8">
        <v>52500.200799999999</v>
      </c>
      <c r="D4" s="9">
        <v>0.46574885999999999</v>
      </c>
      <c r="V4" s="41">
        <v>1000</v>
      </c>
      <c r="W4" s="41"/>
      <c r="Y4">
        <v>5264</v>
      </c>
      <c r="Z4">
        <v>-1.4990400013630278E-3</v>
      </c>
    </row>
    <row r="5" spans="1:26" ht="13.5" thickTop="1">
      <c r="A5" s="11" t="s">
        <v>26</v>
      </c>
      <c r="B5" s="12"/>
      <c r="C5" s="13">
        <v>-9.5</v>
      </c>
      <c r="D5" s="12" t="s">
        <v>27</v>
      </c>
      <c r="V5" s="41">
        <v>1500</v>
      </c>
      <c r="W5" s="41"/>
      <c r="Y5">
        <v>6032</v>
      </c>
      <c r="Z5">
        <v>-8.3519997133407742E-5</v>
      </c>
    </row>
    <row r="6" spans="1:26">
      <c r="A6" s="5" t="s">
        <v>1</v>
      </c>
      <c r="C6">
        <v>57514.918699092697</v>
      </c>
      <c r="D6">
        <v>0.46574885600485399</v>
      </c>
      <c r="V6" s="41">
        <v>2000</v>
      </c>
      <c r="W6" s="41"/>
      <c r="Y6">
        <v>6987</v>
      </c>
      <c r="Z6">
        <v>2.1517999994102865E-4</v>
      </c>
    </row>
    <row r="7" spans="1:26">
      <c r="A7" t="s">
        <v>2</v>
      </c>
      <c r="C7">
        <f>C4</f>
        <v>52500.200799999999</v>
      </c>
      <c r="V7" s="41">
        <v>2500</v>
      </c>
      <c r="W7" s="41"/>
      <c r="Y7">
        <v>7823</v>
      </c>
      <c r="Z7">
        <v>5.0594146159710363E-4</v>
      </c>
    </row>
    <row r="8" spans="1:26">
      <c r="A8" t="s">
        <v>3</v>
      </c>
      <c r="C8">
        <f>D4</f>
        <v>0.46574885999999999</v>
      </c>
      <c r="D8" s="49" t="s">
        <v>56</v>
      </c>
      <c r="V8" s="41">
        <v>3000</v>
      </c>
      <c r="W8" s="41"/>
      <c r="Y8">
        <v>7829.5</v>
      </c>
      <c r="Z8">
        <v>8.0062999768415466E-4</v>
      </c>
    </row>
    <row r="9" spans="1:26">
      <c r="A9" s="24" t="s">
        <v>31</v>
      </c>
      <c r="B9" s="25">
        <v>32</v>
      </c>
      <c r="C9" s="22" t="str">
        <f>"F"&amp;B9</f>
        <v>F32</v>
      </c>
      <c r="D9" s="23" t="str">
        <f>"G"&amp;B9</f>
        <v>G32</v>
      </c>
      <c r="V9" s="41">
        <v>3500</v>
      </c>
      <c r="W9" s="41"/>
      <c r="Y9">
        <v>7830</v>
      </c>
      <c r="Z9">
        <v>7.2619999991729856E-4</v>
      </c>
    </row>
    <row r="10" spans="1:26" ht="13.5" thickBot="1">
      <c r="A10" s="12"/>
      <c r="B10" s="12"/>
      <c r="C10" s="4" t="s">
        <v>18</v>
      </c>
      <c r="D10" s="4" t="s">
        <v>19</v>
      </c>
      <c r="E10" s="12"/>
      <c r="V10" s="41">
        <v>4000</v>
      </c>
      <c r="W10" s="41"/>
      <c r="Y10">
        <v>7836</v>
      </c>
      <c r="Z10">
        <v>4.1253099334426224E-4</v>
      </c>
    </row>
    <row r="11" spans="1:26">
      <c r="A11" s="12" t="s">
        <v>14</v>
      </c>
      <c r="B11" s="12"/>
      <c r="C11" s="21">
        <f ca="1">INTERCEPT(INDIRECT($D$9):G986,INDIRECT($C$9):F986)</f>
        <v>3.1635227354119165E-3</v>
      </c>
      <c r="D11" s="3">
        <f>+E11*F11</f>
        <v>5.5263682671523392E-5</v>
      </c>
      <c r="E11" s="32">
        <v>5.5263682671523392E-5</v>
      </c>
      <c r="F11">
        <v>1</v>
      </c>
      <c r="V11" s="41">
        <v>4500</v>
      </c>
      <c r="W11" s="41"/>
      <c r="Y11">
        <v>9263</v>
      </c>
      <c r="Z11">
        <v>-1.390179997542873E-3</v>
      </c>
    </row>
    <row r="12" spans="1:26">
      <c r="A12" s="12" t="s">
        <v>15</v>
      </c>
      <c r="B12" s="12"/>
      <c r="C12" s="21">
        <f ca="1">SLOPE(INDIRECT($D$9):G986,INDIRECT($C$9):F986)</f>
        <v>-3.1368736297479898E-7</v>
      </c>
      <c r="D12" s="3">
        <f>+E12*F12</f>
        <v>-1.4817770791115203E-7</v>
      </c>
      <c r="E12" s="33">
        <v>-1.4817770791115202E-3</v>
      </c>
      <c r="F12" s="34">
        <v>1E-4</v>
      </c>
      <c r="V12" s="41">
        <v>5000</v>
      </c>
      <c r="W12" s="41"/>
      <c r="Y12">
        <v>9400.5</v>
      </c>
      <c r="Z12">
        <v>6.0156999825267121E-4</v>
      </c>
    </row>
    <row r="13" spans="1:26" ht="13.5" thickBot="1">
      <c r="A13" s="12" t="s">
        <v>17</v>
      </c>
      <c r="B13" s="12"/>
      <c r="C13" s="3" t="s">
        <v>12</v>
      </c>
      <c r="D13" s="3">
        <f>+E13*F13</f>
        <v>2.6453935602097795E-11</v>
      </c>
      <c r="E13" s="35">
        <v>2.6453935602097794E-3</v>
      </c>
      <c r="F13" s="34">
        <v>1E-8</v>
      </c>
      <c r="V13" s="41">
        <v>5500</v>
      </c>
      <c r="W13" s="41"/>
      <c r="Y13">
        <v>10109</v>
      </c>
      <c r="Z13">
        <v>-2.2573999740416184E-4</v>
      </c>
    </row>
    <row r="14" spans="1:26">
      <c r="A14" s="12" t="s">
        <v>50</v>
      </c>
      <c r="B14" s="12"/>
      <c r="C14" s="12"/>
      <c r="D14">
        <f>2*D13*365.24/C8</f>
        <v>4.1490323516026206E-8</v>
      </c>
      <c r="E14">
        <f>SUM(T21:T946)</f>
        <v>1.0406727181080241E-4</v>
      </c>
      <c r="V14" s="41">
        <v>6000</v>
      </c>
      <c r="W14" s="41"/>
      <c r="Y14">
        <v>10767</v>
      </c>
      <c r="Z14">
        <v>-8.0707120650913566E-4</v>
      </c>
    </row>
    <row r="15" spans="1:26">
      <c r="A15" s="14" t="s">
        <v>16</v>
      </c>
      <c r="B15" s="12"/>
      <c r="C15" s="15">
        <f ca="1">(C7+C11)+(C8+C12)*INT(MAX(F21:F3527))</f>
        <v>59782.648233667125</v>
      </c>
      <c r="D15" s="23">
        <f>+C7+INT(MAX(F21:F1584))*C8+D11+D12*INT(MAX(F21:F4019))+D13*INT(MAX(F21:F4046)^2)</f>
        <v>59782.654180894155</v>
      </c>
      <c r="E15" s="16" t="s">
        <v>40</v>
      </c>
      <c r="F15" s="13">
        <v>1</v>
      </c>
      <c r="V15" s="41">
        <v>6500</v>
      </c>
      <c r="W15" s="41"/>
    </row>
    <row r="16" spans="1:26">
      <c r="A16" s="18" t="s">
        <v>4</v>
      </c>
      <c r="B16" s="12"/>
      <c r="C16" s="19">
        <f ca="1">+C8+C12</f>
        <v>0.46574854631263701</v>
      </c>
      <c r="D16" s="23">
        <f>+C8+D12+2*D13*MAX(F21:F892)</f>
        <v>0.46574953908976618</v>
      </c>
      <c r="E16" s="16" t="s">
        <v>28</v>
      </c>
      <c r="F16" s="17">
        <f ca="1">NOW()+15018.5+$C$5/24</f>
        <v>59957.756407638888</v>
      </c>
      <c r="V16" s="41">
        <v>7000</v>
      </c>
      <c r="W16" s="41"/>
    </row>
    <row r="17" spans="1:34" ht="13.5" thickBot="1">
      <c r="A17" s="16" t="s">
        <v>25</v>
      </c>
      <c r="B17" s="12"/>
      <c r="C17" s="12">
        <f>COUNT(C21:C2185)</f>
        <v>22</v>
      </c>
      <c r="E17" s="16" t="s">
        <v>41</v>
      </c>
      <c r="F17" s="17">
        <f ca="1">ROUND(2*(F16-$C$7)/$C$8,0)/2+F15</f>
        <v>16013</v>
      </c>
      <c r="V17" s="41">
        <v>7500</v>
      </c>
      <c r="W17" s="41"/>
      <c r="Z17" t="s">
        <v>122</v>
      </c>
    </row>
    <row r="18" spans="1:34" ht="14.25" thickTop="1" thickBot="1">
      <c r="A18" s="5" t="s">
        <v>45</v>
      </c>
      <c r="C18" s="50">
        <f ca="1">+C15</f>
        <v>59782.648233667125</v>
      </c>
      <c r="D18" s="51">
        <f ca="1">C16</f>
        <v>0.46574854631263701</v>
      </c>
      <c r="E18" s="16" t="s">
        <v>29</v>
      </c>
      <c r="F18" s="23">
        <f ca="1">ROUND(2*(F16-$C$15)/$C$16,0)/2+F15</f>
        <v>377</v>
      </c>
      <c r="V18" s="41">
        <v>8000</v>
      </c>
      <c r="W18" s="41"/>
    </row>
    <row r="19" spans="1:34" ht="13.5" thickBot="1">
      <c r="A19" s="5" t="s">
        <v>46</v>
      </c>
      <c r="C19" s="52">
        <f>+D15</f>
        <v>59782.654180894155</v>
      </c>
      <c r="D19" s="53">
        <f>+D16</f>
        <v>0.46574953908976618</v>
      </c>
      <c r="E19" s="16" t="s">
        <v>30</v>
      </c>
      <c r="F19" s="20">
        <f ca="1">+$C$15+$C$16*F18-15018.5-$C$5/24</f>
        <v>44940.131268960322</v>
      </c>
      <c r="V19" s="41">
        <v>8500</v>
      </c>
      <c r="W19" s="41"/>
      <c r="Z19" s="80" t="s">
        <v>123</v>
      </c>
      <c r="AA19" s="80"/>
    </row>
    <row r="20" spans="1:34" ht="1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146</v>
      </c>
      <c r="M20" s="7" t="s">
        <v>23</v>
      </c>
      <c r="N20" s="7" t="s">
        <v>24</v>
      </c>
      <c r="O20" s="7" t="s">
        <v>21</v>
      </c>
      <c r="P20" s="36" t="s">
        <v>20</v>
      </c>
      <c r="Q20" s="4" t="s">
        <v>13</v>
      </c>
      <c r="R20" s="37" t="s">
        <v>47</v>
      </c>
      <c r="S20" s="6" t="s">
        <v>48</v>
      </c>
      <c r="T20" s="37" t="s">
        <v>49</v>
      </c>
      <c r="U20" s="38" t="s">
        <v>53</v>
      </c>
      <c r="Z20" s="77" t="s">
        <v>124</v>
      </c>
      <c r="AA20" s="77">
        <v>1.6616368578468561E-2</v>
      </c>
    </row>
    <row r="21" spans="1:34">
      <c r="A21" s="29" t="s">
        <v>34</v>
      </c>
      <c r="B21" s="28" t="s">
        <v>32</v>
      </c>
      <c r="C21" s="29">
        <v>52500.200799999999</v>
      </c>
      <c r="D21" s="26"/>
      <c r="E21">
        <f t="shared" ref="E21:E30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3.1635227354119165E-3</v>
      </c>
      <c r="P21" s="39">
        <f t="shared" ref="P21:P30" si="1">+D$11+D$12*F21+D$13*F21^2</f>
        <v>5.5263682671523392E-5</v>
      </c>
      <c r="Q21" s="40">
        <f t="shared" ref="Q21:Q30" si="2">+C21-15018.5</f>
        <v>37481.700799999999</v>
      </c>
      <c r="R21" s="41">
        <f t="shared" ref="R21:R26" si="3">+(P21-G21)^2</f>
        <v>3.0540746224188348E-9</v>
      </c>
      <c r="S21" s="41">
        <v>1</v>
      </c>
      <c r="T21" s="41">
        <f t="shared" ref="T21:T26" si="4">+S21*R21</f>
        <v>3.0540746224188348E-9</v>
      </c>
      <c r="U21" s="42"/>
      <c r="Z21" s="77" t="s">
        <v>125</v>
      </c>
      <c r="AA21" s="77">
        <v>2.7610370473551732E-4</v>
      </c>
    </row>
    <row r="22" spans="1:34">
      <c r="A22" s="31" t="s">
        <v>38</v>
      </c>
      <c r="B22" s="30" t="s">
        <v>39</v>
      </c>
      <c r="C22" s="31">
        <v>53972.665599999949</v>
      </c>
      <c r="D22" s="31">
        <v>2.9999999999999997E-4</v>
      </c>
      <c r="E22">
        <f t="shared" si="0"/>
        <v>3161.4995257314226</v>
      </c>
      <c r="F22">
        <f t="shared" ref="F22:F30" si="5">ROUND(2*E22,0)/2</f>
        <v>3161.5</v>
      </c>
      <c r="G22">
        <f t="shared" ref="G22:G30" si="6">+C22-(C$7+F22*C$8)</f>
        <v>-2.2089004778536037E-4</v>
      </c>
      <c r="K22">
        <f>G22</f>
        <v>-2.2089004778536037E-4</v>
      </c>
      <c r="O22">
        <f t="shared" ref="O22:O30" ca="1" si="7">+C$11+C$12*$F22</f>
        <v>2.1718001373670897E-3</v>
      </c>
      <c r="P22" s="39">
        <f t="shared" si="1"/>
        <v>-1.4879087871041302E-4</v>
      </c>
      <c r="Q22" s="2">
        <f t="shared" si="2"/>
        <v>38954.165599999949</v>
      </c>
      <c r="R22" s="41">
        <f t="shared" si="3"/>
        <v>5.1982901812978445E-9</v>
      </c>
      <c r="S22" s="41">
        <v>1</v>
      </c>
      <c r="T22" s="41">
        <f t="shared" si="4"/>
        <v>5.1982901812978445E-9</v>
      </c>
      <c r="Z22" s="77" t="s">
        <v>126</v>
      </c>
      <c r="AA22" s="77">
        <v>-8.3034220986536525E-2</v>
      </c>
    </row>
    <row r="23" spans="1:34">
      <c r="A23" s="31" t="s">
        <v>38</v>
      </c>
      <c r="B23" s="30" t="s">
        <v>32</v>
      </c>
      <c r="C23" s="31">
        <v>53976.624799999874</v>
      </c>
      <c r="D23" s="31">
        <v>2.9999999999999997E-4</v>
      </c>
      <c r="E23">
        <f t="shared" si="0"/>
        <v>3170.0002443374215</v>
      </c>
      <c r="F23">
        <f t="shared" si="5"/>
        <v>3170</v>
      </c>
      <c r="G23">
        <f t="shared" si="6"/>
        <v>1.1379987699910998E-4</v>
      </c>
      <c r="K23">
        <f t="shared" ref="K23:K30" si="8">G23</f>
        <v>1.1379987699910998E-4</v>
      </c>
      <c r="O23">
        <f t="shared" ca="1" si="7"/>
        <v>2.1691337947818039E-3</v>
      </c>
      <c r="P23" s="39">
        <f t="shared" si="1"/>
        <v>-1.4862669793490806E-4</v>
      </c>
      <c r="Q23" s="2">
        <f t="shared" si="2"/>
        <v>38958.124799999874</v>
      </c>
      <c r="R23" s="41">
        <f t="shared" si="3"/>
        <v>6.8867707231599786E-8</v>
      </c>
      <c r="S23" s="41">
        <v>1</v>
      </c>
      <c r="T23" s="41">
        <f t="shared" si="4"/>
        <v>6.8867707231599786E-8</v>
      </c>
      <c r="Z23" s="77" t="s">
        <v>127</v>
      </c>
      <c r="AA23" s="77">
        <v>7.5828206399703184E-4</v>
      </c>
    </row>
    <row r="24" spans="1:34" ht="13.5" thickBot="1">
      <c r="A24" s="44" t="s">
        <v>42</v>
      </c>
      <c r="B24" s="45"/>
      <c r="C24" s="29">
        <v>54951.901299999998</v>
      </c>
      <c r="D24" s="29">
        <v>1E-4</v>
      </c>
      <c r="E24">
        <f t="shared" si="0"/>
        <v>5263.9967814413958</v>
      </c>
      <c r="F24">
        <f t="shared" si="5"/>
        <v>5264</v>
      </c>
      <c r="G24">
        <f t="shared" si="6"/>
        <v>-1.4990400013630278E-3</v>
      </c>
      <c r="L24">
        <f>G24</f>
        <v>-1.4990400013630278E-3</v>
      </c>
      <c r="O24">
        <f t="shared" ca="1" si="7"/>
        <v>1.5122724567125747E-3</v>
      </c>
      <c r="P24" s="39">
        <f t="shared" si="1"/>
        <v>8.2867417649259935E-6</v>
      </c>
      <c r="Q24" s="2">
        <f t="shared" si="2"/>
        <v>39933.401299999998</v>
      </c>
      <c r="R24" s="41">
        <f t="shared" si="3"/>
        <v>2.2720339105487249E-6</v>
      </c>
      <c r="S24" s="41">
        <v>1</v>
      </c>
      <c r="T24" s="41">
        <f t="shared" si="4"/>
        <v>2.2720339105487249E-6</v>
      </c>
      <c r="Z24" s="78" t="s">
        <v>128</v>
      </c>
      <c r="AA24" s="78">
        <v>14</v>
      </c>
    </row>
    <row r="25" spans="1:34">
      <c r="A25" s="46" t="s">
        <v>43</v>
      </c>
      <c r="B25" s="28" t="s">
        <v>32</v>
      </c>
      <c r="C25" s="29">
        <v>55309.597840000002</v>
      </c>
      <c r="D25" s="29">
        <v>1E-4</v>
      </c>
      <c r="E25">
        <f t="shared" si="0"/>
        <v>6031.9998206758974</v>
      </c>
      <c r="F25">
        <f t="shared" si="5"/>
        <v>6032</v>
      </c>
      <c r="G25">
        <f t="shared" si="6"/>
        <v>-8.3519997133407742E-5</v>
      </c>
      <c r="K25">
        <f t="shared" si="8"/>
        <v>-8.3519997133407742E-5</v>
      </c>
      <c r="O25">
        <f t="shared" ca="1" si="7"/>
        <v>1.271360561947929E-3</v>
      </c>
      <c r="P25" s="39">
        <f t="shared" si="1"/>
        <v>1.2398283032823707E-4</v>
      </c>
      <c r="Q25" s="2">
        <f t="shared" si="2"/>
        <v>40291.097840000002</v>
      </c>
      <c r="R25" s="41">
        <f t="shared" si="3"/>
        <v>4.3057423404577133E-8</v>
      </c>
      <c r="S25" s="41">
        <v>1</v>
      </c>
      <c r="T25" s="41">
        <f t="shared" si="4"/>
        <v>4.3057423404577133E-8</v>
      </c>
    </row>
    <row r="26" spans="1:34" ht="13.5" thickBot="1">
      <c r="A26" s="47" t="s">
        <v>44</v>
      </c>
      <c r="B26" s="48" t="s">
        <v>32</v>
      </c>
      <c r="C26" s="47">
        <v>55754.388299999999</v>
      </c>
      <c r="D26" s="47">
        <v>1E-4</v>
      </c>
      <c r="E26">
        <f t="shared" si="0"/>
        <v>6987.0004620086456</v>
      </c>
      <c r="F26">
        <f t="shared" si="5"/>
        <v>6987</v>
      </c>
      <c r="G26">
        <f t="shared" si="6"/>
        <v>2.1517999994102865E-4</v>
      </c>
      <c r="K26">
        <f t="shared" si="8"/>
        <v>2.1517999994102865E-4</v>
      </c>
      <c r="O26">
        <f t="shared" ca="1" si="7"/>
        <v>9.7178913030699591E-4</v>
      </c>
      <c r="P26" s="39">
        <f t="shared" si="1"/>
        <v>3.113787364346309E-4</v>
      </c>
      <c r="Q26" s="2">
        <f t="shared" si="2"/>
        <v>40735.888299999999</v>
      </c>
      <c r="R26" s="41">
        <f t="shared" si="3"/>
        <v>9.2541969029655198E-9</v>
      </c>
      <c r="S26" s="41">
        <v>1</v>
      </c>
      <c r="T26" s="41">
        <f t="shared" si="4"/>
        <v>9.2541969029655198E-9</v>
      </c>
      <c r="Z26" t="s">
        <v>129</v>
      </c>
    </row>
    <row r="27" spans="1:34">
      <c r="A27" s="56" t="s">
        <v>52</v>
      </c>
      <c r="B27" s="57" t="s">
        <v>32</v>
      </c>
      <c r="C27" s="55">
        <v>55833.327799999999</v>
      </c>
      <c r="D27" s="55">
        <v>2E-3</v>
      </c>
      <c r="E27">
        <f t="shared" si="0"/>
        <v>7156.4898731045751</v>
      </c>
      <c r="F27">
        <f t="shared" si="5"/>
        <v>7156.5</v>
      </c>
      <c r="O27">
        <f t="shared" ca="1" si="7"/>
        <v>9.1861912228276754E-4</v>
      </c>
      <c r="P27" s="39">
        <f t="shared" si="1"/>
        <v>3.4968124981660242E-4</v>
      </c>
      <c r="Q27" s="2">
        <f t="shared" si="2"/>
        <v>40814.827799999999</v>
      </c>
      <c r="R27" s="41">
        <f>+(P27-U27)^2</f>
        <v>2.5667104409414816E-5</v>
      </c>
      <c r="S27" s="41"/>
      <c r="T27" s="41"/>
      <c r="U27">
        <f>+C27-(C$7+F27*C$8)</f>
        <v>-4.7165900032268837E-3</v>
      </c>
      <c r="Z27" s="79"/>
      <c r="AA27" s="79" t="s">
        <v>134</v>
      </c>
      <c r="AB27" s="79" t="s">
        <v>135</v>
      </c>
      <c r="AC27" s="79" t="s">
        <v>136</v>
      </c>
      <c r="AD27" s="79" t="s">
        <v>64</v>
      </c>
      <c r="AE27" s="79" t="s">
        <v>137</v>
      </c>
    </row>
    <row r="28" spans="1:34">
      <c r="A28" s="5" t="s">
        <v>51</v>
      </c>
      <c r="C28" s="10">
        <v>56143.75463772146</v>
      </c>
      <c r="D28" s="10">
        <v>2.9999999999999997E-4</v>
      </c>
      <c r="E28">
        <f t="shared" si="0"/>
        <v>7823.0010862967256</v>
      </c>
      <c r="F28">
        <f t="shared" si="5"/>
        <v>7823</v>
      </c>
      <c r="G28">
        <f t="shared" si="6"/>
        <v>5.0594146159710363E-4</v>
      </c>
      <c r="L28">
        <f>G28</f>
        <v>5.0594146159710363E-4</v>
      </c>
      <c r="O28">
        <f t="shared" ca="1" si="7"/>
        <v>7.0954649486006409E-4</v>
      </c>
      <c r="P28" s="39">
        <f t="shared" si="1"/>
        <v>5.1503258194017694E-4</v>
      </c>
      <c r="Q28" s="2">
        <f t="shared" si="2"/>
        <v>41125.25463772146</v>
      </c>
      <c r="R28" s="41">
        <f t="shared" ref="R28:R39" si="9">+(P28-G28)^2</f>
        <v>8.2648469092241452E-11</v>
      </c>
      <c r="S28" s="41">
        <v>1</v>
      </c>
      <c r="T28" s="41">
        <f t="shared" ref="T28:T39" si="10">+S28*R28</f>
        <v>8.2648469092241452E-11</v>
      </c>
      <c r="Z28" s="77" t="s">
        <v>130</v>
      </c>
      <c r="AA28" s="77">
        <v>1</v>
      </c>
      <c r="AB28" s="77">
        <v>1.9056141720401936E-9</v>
      </c>
      <c r="AC28" s="77">
        <v>1.9056141720401936E-9</v>
      </c>
      <c r="AD28" s="77">
        <v>3.3141595085446015E-3</v>
      </c>
      <c r="AE28" s="77">
        <v>0.95503966319091305</v>
      </c>
    </row>
    <row r="29" spans="1:34">
      <c r="A29" s="44" t="s">
        <v>51</v>
      </c>
      <c r="B29" s="54"/>
      <c r="C29" s="55">
        <v>56146.782299999999</v>
      </c>
      <c r="D29" s="55">
        <v>2.0000000000000001E-4</v>
      </c>
      <c r="E29">
        <f t="shared" si="0"/>
        <v>7829.5017190165536</v>
      </c>
      <c r="F29">
        <f t="shared" si="5"/>
        <v>7829.5</v>
      </c>
      <c r="G29">
        <f t="shared" si="6"/>
        <v>8.0062999768415466E-4</v>
      </c>
      <c r="L29">
        <f>G29</f>
        <v>8.0062999768415466E-4</v>
      </c>
      <c r="O29">
        <f t="shared" ca="1" si="7"/>
        <v>7.0750752700072779E-4</v>
      </c>
      <c r="P29" s="39">
        <f t="shared" si="1"/>
        <v>5.1676088331433141E-4</v>
      </c>
      <c r="Q29" s="2">
        <f t="shared" si="2"/>
        <v>41128.282299999999</v>
      </c>
      <c r="R29" s="41">
        <f t="shared" si="9"/>
        <v>8.0581674093107789E-8</v>
      </c>
      <c r="S29" s="41">
        <v>1</v>
      </c>
      <c r="T29" s="41">
        <f t="shared" si="10"/>
        <v>8.0581674093107789E-8</v>
      </c>
      <c r="Z29" s="77" t="s">
        <v>131</v>
      </c>
      <c r="AA29" s="77">
        <v>12</v>
      </c>
      <c r="AB29" s="77">
        <v>6.8999002629551848E-6</v>
      </c>
      <c r="AC29" s="77">
        <v>5.7499168857959873E-7</v>
      </c>
      <c r="AD29" s="77"/>
      <c r="AE29" s="77"/>
    </row>
    <row r="30" spans="1:34" ht="13.5" thickBot="1">
      <c r="A30" s="74" t="s">
        <v>107</v>
      </c>
      <c r="B30" s="76" t="s">
        <v>32</v>
      </c>
      <c r="C30" s="75">
        <v>56147.015099999997</v>
      </c>
      <c r="D30" s="75" t="s">
        <v>68</v>
      </c>
      <c r="E30">
        <f t="shared" si="0"/>
        <v>7830.0015592093951</v>
      </c>
      <c r="F30">
        <f t="shared" si="5"/>
        <v>7830</v>
      </c>
      <c r="G30">
        <f t="shared" si="6"/>
        <v>7.2619999991729856E-4</v>
      </c>
      <c r="K30">
        <f t="shared" si="8"/>
        <v>7.2619999991729856E-4</v>
      </c>
      <c r="O30">
        <f t="shared" ca="1" si="7"/>
        <v>7.0735068331924042E-4</v>
      </c>
      <c r="P30" s="39">
        <f t="shared" si="1"/>
        <v>5.1689392216265639E-4</v>
      </c>
      <c r="Q30" s="2">
        <f t="shared" si="2"/>
        <v>41128.515099999997</v>
      </c>
      <c r="R30" s="41">
        <f t="shared" si="9"/>
        <v>4.3809034185032312E-8</v>
      </c>
      <c r="S30" s="41">
        <v>1</v>
      </c>
      <c r="T30" s="41">
        <f t="shared" si="10"/>
        <v>4.3809034185032312E-8</v>
      </c>
      <c r="Z30" s="78" t="s">
        <v>132</v>
      </c>
      <c r="AA30" s="78">
        <v>13</v>
      </c>
      <c r="AB30" s="78">
        <v>6.9018058771272249E-6</v>
      </c>
      <c r="AC30" s="78"/>
      <c r="AD30" s="78"/>
      <c r="AE30" s="78"/>
    </row>
    <row r="31" spans="1:34" ht="13.5" thickBot="1">
      <c r="A31" s="44" t="s">
        <v>51</v>
      </c>
      <c r="B31" s="54"/>
      <c r="C31" s="43">
        <v>56149.80927949099</v>
      </c>
      <c r="D31" s="55">
        <v>2.0000000000000001E-4</v>
      </c>
      <c r="E31">
        <f t="shared" ref="E31:E39" si="11">+(C31-C$7)/C$8</f>
        <v>7836.0008857369858</v>
      </c>
      <c r="F31">
        <f t="shared" ref="F31:F40" si="12">ROUND(2*E31,0)/2</f>
        <v>7836</v>
      </c>
      <c r="G31">
        <f t="shared" ref="G31:G39" si="13">+C31-(C$7+F31*C$8)</f>
        <v>4.1253099334426224E-4</v>
      </c>
      <c r="L31">
        <f>G31</f>
        <v>4.1253099334426224E-4</v>
      </c>
      <c r="O31">
        <f t="shared" ref="O31:O39" ca="1" si="14">+C$11+C$12*$F31</f>
        <v>7.054685591413915E-4</v>
      </c>
      <c r="P31" s="39">
        <f t="shared" ref="P31:P39" si="15">+D$11+D$12*F31+D$13*F31^2</f>
        <v>5.1849142004604422E-4</v>
      </c>
      <c r="Q31" s="2">
        <f t="shared" ref="Q31:Q39" si="16">+C31-15018.5</f>
        <v>41131.30927949099</v>
      </c>
      <c r="R31" s="41">
        <f t="shared" si="9"/>
        <v>1.122761202682371E-8</v>
      </c>
      <c r="S31" s="41">
        <v>1</v>
      </c>
      <c r="T31" s="41">
        <f t="shared" si="10"/>
        <v>1.122761202682371E-8</v>
      </c>
    </row>
    <row r="32" spans="1:34">
      <c r="A32" s="58" t="s">
        <v>54</v>
      </c>
      <c r="B32" s="59" t="s">
        <v>32</v>
      </c>
      <c r="C32" s="58">
        <v>56814.431100000002</v>
      </c>
      <c r="D32" s="58">
        <v>5.9999999999999995E-4</v>
      </c>
      <c r="E32">
        <f t="shared" si="11"/>
        <v>9262.9970151725174</v>
      </c>
      <c r="F32">
        <f t="shared" si="12"/>
        <v>9263</v>
      </c>
      <c r="G32">
        <f t="shared" si="13"/>
        <v>-1.390179997542873E-3</v>
      </c>
      <c r="J32">
        <f>+G32</f>
        <v>-1.390179997542873E-3</v>
      </c>
      <c r="O32">
        <f t="shared" ca="1" si="14"/>
        <v>2.5783669217635356E-4</v>
      </c>
      <c r="P32" s="39">
        <f t="shared" si="15"/>
        <v>9.5252508147243608E-4</v>
      </c>
      <c r="Q32" s="2">
        <f t="shared" si="16"/>
        <v>41795.931100000002</v>
      </c>
      <c r="R32" s="41">
        <f t="shared" si="9"/>
        <v>5.4882670872441252E-6</v>
      </c>
      <c r="S32" s="41">
        <v>1</v>
      </c>
      <c r="T32" s="41">
        <f t="shared" si="10"/>
        <v>5.4882670872441252E-6</v>
      </c>
      <c r="Z32" s="79"/>
      <c r="AA32" s="79" t="s">
        <v>138</v>
      </c>
      <c r="AB32" s="79" t="s">
        <v>127</v>
      </c>
      <c r="AC32" s="79" t="s">
        <v>139</v>
      </c>
      <c r="AD32" s="79" t="s">
        <v>140</v>
      </c>
      <c r="AE32" s="79" t="s">
        <v>141</v>
      </c>
      <c r="AF32" s="79" t="s">
        <v>142</v>
      </c>
      <c r="AG32" s="79" t="s">
        <v>143</v>
      </c>
      <c r="AH32" s="79" t="s">
        <v>144</v>
      </c>
    </row>
    <row r="33" spans="1:34">
      <c r="A33" s="55" t="s">
        <v>55</v>
      </c>
      <c r="B33" s="57" t="s">
        <v>39</v>
      </c>
      <c r="C33" s="60">
        <v>56878.473559999999</v>
      </c>
      <c r="D33" s="55">
        <v>1.8E-3</v>
      </c>
      <c r="E33">
        <f t="shared" si="11"/>
        <v>9400.5012916188352</v>
      </c>
      <c r="F33">
        <f t="shared" si="12"/>
        <v>9400.5</v>
      </c>
      <c r="G33">
        <f t="shared" si="13"/>
        <v>6.0156999825267121E-4</v>
      </c>
      <c r="K33">
        <f>+G33</f>
        <v>6.0156999825267121E-4</v>
      </c>
      <c r="O33">
        <f t="shared" ca="1" si="14"/>
        <v>2.1470467976731841E-4</v>
      </c>
      <c r="P33" s="39">
        <f t="shared" si="15"/>
        <v>1.0000375628622434E-3</v>
      </c>
      <c r="Q33" s="2">
        <f t="shared" si="16"/>
        <v>41859.973559999999</v>
      </c>
      <c r="R33" s="41">
        <f t="shared" si="9"/>
        <v>1.587764000458836E-7</v>
      </c>
      <c r="S33" s="41">
        <v>1</v>
      </c>
      <c r="T33" s="41">
        <f t="shared" si="10"/>
        <v>1.587764000458836E-7</v>
      </c>
      <c r="Z33" s="77" t="s">
        <v>133</v>
      </c>
      <c r="AA33" s="77">
        <v>-3.3511599516257816E-5</v>
      </c>
      <c r="AB33" s="77">
        <v>5.1482239916698881E-4</v>
      </c>
      <c r="AC33" s="77">
        <v>-6.5093514910154346E-2</v>
      </c>
      <c r="AD33" s="77">
        <v>0.94917138782210064</v>
      </c>
      <c r="AE33" s="77">
        <v>-1.1552132286396148E-3</v>
      </c>
      <c r="AF33" s="77">
        <v>1.0881900296070993E-3</v>
      </c>
      <c r="AG33" s="77">
        <v>-1.1552132286396148E-3</v>
      </c>
      <c r="AH33" s="77">
        <v>1.0881900296070993E-3</v>
      </c>
    </row>
    <row r="34" spans="1:34" ht="13.5" thickBot="1">
      <c r="A34" s="84" t="s">
        <v>148</v>
      </c>
      <c r="B34" s="85" t="s">
        <v>32</v>
      </c>
      <c r="C34" s="86">
        <v>56937.392879999999</v>
      </c>
      <c r="D34" s="86">
        <v>2.0000000000000001E-4</v>
      </c>
      <c r="E34">
        <f t="shared" si="11"/>
        <v>9527.005777319564</v>
      </c>
      <c r="F34">
        <f t="shared" si="12"/>
        <v>9527</v>
      </c>
      <c r="G34">
        <f t="shared" si="13"/>
        <v>2.6907799983746372E-3</v>
      </c>
      <c r="K34">
        <f>+G34</f>
        <v>2.6907799983746372E-3</v>
      </c>
      <c r="O34">
        <f t="shared" ca="1" si="14"/>
        <v>1.7502322835100635E-4</v>
      </c>
      <c r="P34" s="39">
        <f t="shared" si="15"/>
        <v>1.044632501374234E-3</v>
      </c>
      <c r="Q34" s="2">
        <f t="shared" si="16"/>
        <v>41918.892879999999</v>
      </c>
      <c r="R34" s="41">
        <f t="shared" si="9"/>
        <v>2.7098015818806923E-6</v>
      </c>
      <c r="S34" s="41">
        <v>1</v>
      </c>
      <c r="T34" s="41">
        <f t="shared" si="10"/>
        <v>2.7098015818806923E-6</v>
      </c>
      <c r="Z34" s="83"/>
      <c r="AA34" s="83"/>
      <c r="AB34" s="83"/>
      <c r="AC34" s="83"/>
      <c r="AD34" s="83"/>
      <c r="AE34" s="83"/>
      <c r="AF34" s="83"/>
      <c r="AG34" s="83"/>
      <c r="AH34" s="83"/>
    </row>
    <row r="35" spans="1:34">
      <c r="A35" s="29" t="s">
        <v>57</v>
      </c>
      <c r="B35" s="28"/>
      <c r="C35" s="29">
        <v>57208.455800000003</v>
      </c>
      <c r="D35" s="29">
        <v>1.9E-3</v>
      </c>
      <c r="E35">
        <f t="shared" si="11"/>
        <v>10108.999515318201</v>
      </c>
      <c r="F35">
        <f t="shared" si="12"/>
        <v>10109</v>
      </c>
      <c r="G35">
        <f t="shared" si="13"/>
        <v>-2.2573999740416184E-4</v>
      </c>
      <c r="J35">
        <f>+G35</f>
        <v>-2.2573999740416184E-4</v>
      </c>
      <c r="O35">
        <f t="shared" ca="1" si="14"/>
        <v>-7.5428169003266023E-6</v>
      </c>
      <c r="P35" s="39">
        <f t="shared" si="15"/>
        <v>1.2607126724289287E-3</v>
      </c>
      <c r="Q35" s="2">
        <f t="shared" si="16"/>
        <v>42189.955800000003</v>
      </c>
      <c r="R35" s="41">
        <f t="shared" si="9"/>
        <v>2.2095415396539228E-6</v>
      </c>
      <c r="S35" s="41">
        <v>1</v>
      </c>
      <c r="T35" s="41">
        <f t="shared" si="10"/>
        <v>2.2095415396539228E-6</v>
      </c>
      <c r="Z35" s="82" t="s">
        <v>145</v>
      </c>
      <c r="AA35" s="82">
        <v>-3.9951454793236598E-9</v>
      </c>
      <c r="AB35" s="82">
        <v>6.9397830666007755E-8</v>
      </c>
      <c r="AC35" s="82">
        <v>-5.756873724988857E-2</v>
      </c>
      <c r="AD35" s="82">
        <v>0.95503966319090405</v>
      </c>
      <c r="AE35" s="82">
        <v>-1.5520002669980499E-7</v>
      </c>
      <c r="AF35" s="82">
        <v>1.4720973574115766E-7</v>
      </c>
      <c r="AG35" s="82">
        <v>-1.5520002669980499E-7</v>
      </c>
      <c r="AH35" s="82">
        <v>1.4720973574115766E-7</v>
      </c>
    </row>
    <row r="36" spans="1:34">
      <c r="A36" s="5" t="s">
        <v>147</v>
      </c>
      <c r="C36" s="10">
        <v>57514.917968548791</v>
      </c>
      <c r="D36" s="10">
        <v>1E-4</v>
      </c>
      <c r="E36">
        <f t="shared" si="11"/>
        <v>10766.998267153658</v>
      </c>
      <c r="F36">
        <f t="shared" si="12"/>
        <v>10767</v>
      </c>
      <c r="G36">
        <f t="shared" si="13"/>
        <v>-8.0707120650913566E-4</v>
      </c>
      <c r="L36">
        <f>+G36</f>
        <v>-8.0707120650913566E-4</v>
      </c>
      <c r="O36">
        <f t="shared" ca="1" si="14"/>
        <v>-2.1394910173774427E-4</v>
      </c>
      <c r="P36" s="39">
        <f t="shared" si="15"/>
        <v>1.5265937932595315E-3</v>
      </c>
      <c r="Q36" s="2">
        <f t="shared" si="16"/>
        <v>42496.417968548791</v>
      </c>
      <c r="R36" s="41">
        <f t="shared" si="9"/>
        <v>5.4459923311452935E-6</v>
      </c>
      <c r="S36" s="41">
        <v>1</v>
      </c>
      <c r="T36" s="41">
        <f t="shared" si="10"/>
        <v>5.4459923311452935E-6</v>
      </c>
    </row>
    <row r="37" spans="1:34">
      <c r="A37" s="5" t="s">
        <v>149</v>
      </c>
      <c r="C37" s="10">
        <v>57916.859199999999</v>
      </c>
      <c r="D37" s="10">
        <v>2.0000000000000001E-4</v>
      </c>
      <c r="E37">
        <f t="shared" si="11"/>
        <v>11629.998192588169</v>
      </c>
      <c r="F37">
        <f t="shared" si="12"/>
        <v>11630</v>
      </c>
      <c r="G37">
        <f t="shared" si="13"/>
        <v>-8.4179999976186082E-4</v>
      </c>
      <c r="L37">
        <f>+G37</f>
        <v>-8.4179999976186082E-4</v>
      </c>
      <c r="O37">
        <f t="shared" ca="1" si="14"/>
        <v>-4.8466129598499557E-4</v>
      </c>
      <c r="P37" s="39">
        <f t="shared" si="15"/>
        <v>1.9100342620042062E-3</v>
      </c>
      <c r="Q37" s="2">
        <f t="shared" si="16"/>
        <v>42898.359199999999</v>
      </c>
      <c r="R37" s="41">
        <f t="shared" si="9"/>
        <v>7.5725918042295955E-6</v>
      </c>
      <c r="S37" s="41">
        <v>1</v>
      </c>
      <c r="T37" s="41">
        <f t="shared" si="10"/>
        <v>7.5725918042295955E-6</v>
      </c>
    </row>
    <row r="38" spans="1:34">
      <c r="A38" s="81" t="s">
        <v>0</v>
      </c>
      <c r="B38" s="87" t="s">
        <v>32</v>
      </c>
      <c r="C38" s="87">
        <v>57922.449200000003</v>
      </c>
      <c r="D38" s="87">
        <v>1.2999999999999999E-3</v>
      </c>
      <c r="E38">
        <f t="shared" si="11"/>
        <v>11642.000369040097</v>
      </c>
      <c r="F38">
        <f t="shared" si="12"/>
        <v>11642</v>
      </c>
      <c r="G38">
        <f t="shared" si="13"/>
        <v>1.7188000492751598E-4</v>
      </c>
      <c r="K38">
        <f>+G38</f>
        <v>1.7188000492751598E-4</v>
      </c>
      <c r="O38">
        <f t="shared" ca="1" si="14"/>
        <v>-4.8842554434069341E-4</v>
      </c>
      <c r="P38" s="39">
        <f t="shared" si="15"/>
        <v>1.9156437613812567E-3</v>
      </c>
      <c r="Q38" s="2">
        <f t="shared" si="16"/>
        <v>42903.949200000003</v>
      </c>
      <c r="R38" s="41">
        <f t="shared" si="9"/>
        <v>3.040712038321661E-6</v>
      </c>
      <c r="S38" s="41">
        <v>1</v>
      </c>
      <c r="T38" s="41">
        <f t="shared" si="10"/>
        <v>3.040712038321661E-6</v>
      </c>
    </row>
    <row r="39" spans="1:34" ht="12" customHeight="1">
      <c r="A39" s="5" t="s">
        <v>150</v>
      </c>
      <c r="C39" s="10">
        <v>58297.841200000003</v>
      </c>
      <c r="D39" s="10">
        <v>2.0000000000000001E-4</v>
      </c>
      <c r="E39">
        <f t="shared" si="11"/>
        <v>12447.996974163294</v>
      </c>
      <c r="F39">
        <f t="shared" si="12"/>
        <v>12448</v>
      </c>
      <c r="G39">
        <f t="shared" si="13"/>
        <v>-1.4092799974605441E-3</v>
      </c>
      <c r="L39">
        <f>+G39</f>
        <v>-1.4092799974605441E-3</v>
      </c>
      <c r="O39">
        <f t="shared" ca="1" si="14"/>
        <v>-7.4125755889838151E-4</v>
      </c>
      <c r="P39" s="39">
        <f t="shared" si="15"/>
        <v>2.3098564275804241E-3</v>
      </c>
      <c r="Q39" s="2">
        <f t="shared" si="16"/>
        <v>43279.341200000003</v>
      </c>
      <c r="R39" s="41">
        <f t="shared" si="9"/>
        <v>1.3831975748066513E-5</v>
      </c>
      <c r="S39" s="41">
        <v>1</v>
      </c>
      <c r="T39" s="41">
        <f t="shared" si="10"/>
        <v>1.3831975748066513E-5</v>
      </c>
    </row>
    <row r="40" spans="1:34" ht="12" customHeight="1">
      <c r="A40" s="5" t="s">
        <v>151</v>
      </c>
      <c r="C40" s="10">
        <v>58983.8894</v>
      </c>
      <c r="D40" s="10">
        <v>1E-4</v>
      </c>
      <c r="E40">
        <f>+(C40-C$7)/C$8</f>
        <v>13920.997251608949</v>
      </c>
      <c r="F40">
        <f t="shared" si="12"/>
        <v>13921</v>
      </c>
      <c r="G40">
        <f>+C40-(C$7+F40*C$8)</f>
        <v>-1.2800600015907548E-3</v>
      </c>
      <c r="L40">
        <f>+G40</f>
        <v>-1.2800600015907548E-3</v>
      </c>
      <c r="O40">
        <f ca="1">+C$11+C$12*$F40</f>
        <v>-1.2033190445602604E-3</v>
      </c>
      <c r="P40" s="39">
        <f>+D$11+D$12*F40+D$13*F40^2</f>
        <v>3.1191021823117958E-3</v>
      </c>
      <c r="Q40" s="2">
        <f>+C40-15018.5</f>
        <v>43965.3894</v>
      </c>
      <c r="R40" s="41">
        <f>+(P40-G40)^2</f>
        <v>1.9352627920278264E-5</v>
      </c>
      <c r="S40" s="41">
        <v>1</v>
      </c>
      <c r="T40" s="41">
        <f>+S40*R40</f>
        <v>1.9352627920278264E-5</v>
      </c>
    </row>
    <row r="41" spans="1:34" ht="12" customHeight="1">
      <c r="A41" s="88" t="s">
        <v>152</v>
      </c>
      <c r="B41" s="89" t="s">
        <v>32</v>
      </c>
      <c r="C41" s="90">
        <v>58297.841200000003</v>
      </c>
      <c r="D41" s="88">
        <v>2.0000000000000001E-4</v>
      </c>
      <c r="E41">
        <f t="shared" ref="E41:E42" si="17">+(C41-C$7)/C$8</f>
        <v>12447.996974163294</v>
      </c>
      <c r="F41">
        <f t="shared" ref="F41:F42" si="18">ROUND(2*E41,0)/2</f>
        <v>12448</v>
      </c>
      <c r="G41">
        <f t="shared" ref="G41:G42" si="19">+C41-(C$7+F41*C$8)</f>
        <v>-1.4092799974605441E-3</v>
      </c>
      <c r="L41">
        <f t="shared" ref="L41:L42" si="20">+G41</f>
        <v>-1.4092799974605441E-3</v>
      </c>
      <c r="O41">
        <f t="shared" ref="O41:O42" ca="1" si="21">+C$11+C$12*$F41</f>
        <v>-7.4125755889838151E-4</v>
      </c>
      <c r="P41" s="39">
        <f t="shared" ref="P41:P42" si="22">+D$11+D$12*F41+D$13*F41^2</f>
        <v>2.3098564275804241E-3</v>
      </c>
      <c r="Q41" s="2">
        <f t="shared" ref="Q41:Q42" si="23">+C41-15018.5</f>
        <v>43279.341200000003</v>
      </c>
      <c r="R41" s="41">
        <f t="shared" ref="R41:R42" si="24">+(P41-G41)^2</f>
        <v>1.3831975748066513E-5</v>
      </c>
      <c r="S41" s="41">
        <v>1</v>
      </c>
      <c r="T41" s="41">
        <f t="shared" ref="T41:T42" si="25">+S41*R41</f>
        <v>1.3831975748066513E-5</v>
      </c>
    </row>
    <row r="42" spans="1:34" ht="12" customHeight="1">
      <c r="A42" s="88" t="s">
        <v>153</v>
      </c>
      <c r="B42" s="89" t="s">
        <v>32</v>
      </c>
      <c r="C42" s="90">
        <v>59782.6489</v>
      </c>
      <c r="D42" s="88">
        <v>2.9999999999999997E-4</v>
      </c>
      <c r="E42">
        <f t="shared" si="17"/>
        <v>15635.99769197503</v>
      </c>
      <c r="F42">
        <f t="shared" si="18"/>
        <v>15636</v>
      </c>
      <c r="G42">
        <f t="shared" si="19"/>
        <v>-1.0749599969130941E-3</v>
      </c>
      <c r="L42">
        <f t="shared" si="20"/>
        <v>-1.0749599969130941E-3</v>
      </c>
      <c r="O42">
        <f t="shared" ca="1" si="21"/>
        <v>-1.7412928720620408E-3</v>
      </c>
      <c r="P42" s="39">
        <f t="shared" si="22"/>
        <v>4.2059341546680853E-3</v>
      </c>
      <c r="Q42" s="2">
        <f t="shared" si="23"/>
        <v>44764.1489</v>
      </c>
      <c r="R42" s="41">
        <f t="shared" si="24"/>
        <v>2.7887843040204306E-5</v>
      </c>
      <c r="S42" s="41">
        <v>1</v>
      </c>
      <c r="T42" s="41">
        <f t="shared" si="25"/>
        <v>2.7887843040204306E-5</v>
      </c>
    </row>
    <row r="43" spans="1:34" ht="12" customHeight="1">
      <c r="C43" s="10"/>
      <c r="D43" s="10"/>
    </row>
    <row r="44" spans="1:34" ht="12" customHeight="1">
      <c r="C44" s="10"/>
      <c r="D44" s="10"/>
    </row>
    <row r="45" spans="1:34" ht="12" customHeight="1">
      <c r="C45" s="10"/>
      <c r="D45" s="10"/>
    </row>
    <row r="46" spans="1:34">
      <c r="C46" s="10"/>
      <c r="D46" s="10"/>
    </row>
    <row r="47" spans="1:34">
      <c r="C47" s="10"/>
      <c r="D47" s="10"/>
    </row>
    <row r="48" spans="1:3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</sheetData>
  <phoneticPr fontId="7" type="noConversion"/>
  <hyperlinks>
    <hyperlink ref="H888" r:id="rId1" display="http://vsolj.cetus-net.org/bulletin.html"/>
    <hyperlink ref="H64580" r:id="rId2" display="http://vsolj.cetus-net.org/bulletin.html"/>
    <hyperlink ref="H64573" r:id="rId3" display="https://www.aavso.org/ejaavso"/>
    <hyperlink ref="AP724" r:id="rId4" display="http://cdsbib.u-strasbg.fr/cgi-bin/cdsbib?1990RMxAA..21..381G"/>
    <hyperlink ref="AP728" r:id="rId5" display="http://cdsbib.u-strasbg.fr/cgi-bin/cdsbib?1990RMxAA..21..381G"/>
    <hyperlink ref="AP727" r:id="rId6" display="http://cdsbib.u-strasbg.fr/cgi-bin/cdsbib?1990RMxAA..21..381G"/>
    <hyperlink ref="AP708" r:id="rId7" display="http://cdsbib.u-strasbg.fr/cgi-bin/cdsbib?1990RMxAA..21..381G"/>
    <hyperlink ref="I64580" r:id="rId8" display="http://vsolj.cetus-net.org/bulletin.html"/>
    <hyperlink ref="AQ864" r:id="rId9" display="http://cdsbib.u-strasbg.fr/cgi-bin/cdsbib?1990RMxAA..21..381G"/>
    <hyperlink ref="AQ55630" r:id="rId10" display="http://cdsbib.u-strasbg.fr/cgi-bin/cdsbib?1990RMxAA..21..381G"/>
    <hyperlink ref="AQ865" r:id="rId11" display="http://cdsbib.u-strasbg.fr/cgi-bin/cdsbib?1990RMxAA..21..381G"/>
    <hyperlink ref="H64577" r:id="rId12" display="https://www.aavso.org/ejaavso"/>
    <hyperlink ref="H1750" r:id="rId13" display="http://vsolj.cetus-net.org/bulletin.html"/>
    <hyperlink ref="AP2994" r:id="rId14" display="http://cdsbib.u-strasbg.fr/cgi-bin/cdsbib?1990RMxAA..21..381G"/>
    <hyperlink ref="AP2997" r:id="rId15" display="http://cdsbib.u-strasbg.fr/cgi-bin/cdsbib?1990RMxAA..21..381G"/>
    <hyperlink ref="AP2995" r:id="rId16" display="http://cdsbib.u-strasbg.fr/cgi-bin/cdsbib?1990RMxAA..21..381G"/>
    <hyperlink ref="AP2979" r:id="rId17" display="http://cdsbib.u-strasbg.fr/cgi-bin/cdsbib?1990RMxAA..21..381G"/>
    <hyperlink ref="I1750" r:id="rId18" display="http://vsolj.cetus-net.org/bulletin.html"/>
    <hyperlink ref="AQ3208" r:id="rId19" display="http://cdsbib.u-strasbg.fr/cgi-bin/cdsbib?1990RMxAA..21..381G"/>
    <hyperlink ref="AQ65445" r:id="rId20" display="http://cdsbib.u-strasbg.fr/cgi-bin/cdsbib?1990RMxAA..21..381G"/>
    <hyperlink ref="AQ321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26"/>
  <sheetViews>
    <sheetView workbookViewId="0">
      <selection activeCell="A17" sqref="A17:D21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61" t="s">
        <v>58</v>
      </c>
      <c r="I1" s="62" t="s">
        <v>59</v>
      </c>
      <c r="J1" s="63" t="s">
        <v>60</v>
      </c>
    </row>
    <row r="2" spans="1:16">
      <c r="I2" s="64" t="s">
        <v>61</v>
      </c>
      <c r="J2" s="65" t="s">
        <v>62</v>
      </c>
    </row>
    <row r="3" spans="1:16">
      <c r="A3" s="66" t="s">
        <v>63</v>
      </c>
      <c r="I3" s="64" t="s">
        <v>64</v>
      </c>
      <c r="J3" s="65" t="s">
        <v>65</v>
      </c>
    </row>
    <row r="4" spans="1:16">
      <c r="I4" s="64" t="s">
        <v>66</v>
      </c>
      <c r="J4" s="65" t="s">
        <v>65</v>
      </c>
    </row>
    <row r="5" spans="1:16" ht="13.5" thickBot="1">
      <c r="I5" s="67" t="s">
        <v>67</v>
      </c>
      <c r="J5" s="68" t="s">
        <v>68</v>
      </c>
    </row>
    <row r="10" spans="1:16" ht="13.5" thickBot="1"/>
    <row r="11" spans="1:16" ht="12.75" customHeight="1" thickBot="1">
      <c r="A11" s="10" t="str">
        <f t="shared" ref="A11:A21" si="0">P11</f>
        <v>BAVM 241 (=IBVS 6157) </v>
      </c>
      <c r="B11" s="3" t="str">
        <f t="shared" ref="B11:B21" si="1">IF(H11=INT(H11),"I","II")</f>
        <v>I</v>
      </c>
      <c r="C11" s="10">
        <f t="shared" ref="C11:C21" si="2">1*G11</f>
        <v>57208.455800000003</v>
      </c>
      <c r="D11" s="12" t="str">
        <f t="shared" ref="D11:D21" si="3">VLOOKUP(F11,I$1:J$5,2,FALSE)</f>
        <v>vis</v>
      </c>
      <c r="E11" s="69">
        <f>VLOOKUP(C11,Active!C$21:E$969,3,FALSE)</f>
        <v>10108.999515318201</v>
      </c>
      <c r="F11" s="3" t="s">
        <v>67</v>
      </c>
      <c r="G11" s="12" t="str">
        <f t="shared" ref="G11:G21" si="4">MID(I11,3,LEN(I11)-3)</f>
        <v>57208.4558</v>
      </c>
      <c r="H11" s="10">
        <f t="shared" ref="H11:H21" si="5">1*K11</f>
        <v>10109</v>
      </c>
      <c r="I11" s="70" t="s">
        <v>117</v>
      </c>
      <c r="J11" s="71" t="s">
        <v>118</v>
      </c>
      <c r="K11" s="70" t="s">
        <v>119</v>
      </c>
      <c r="L11" s="70" t="s">
        <v>120</v>
      </c>
      <c r="M11" s="71" t="s">
        <v>72</v>
      </c>
      <c r="N11" s="71" t="s">
        <v>114</v>
      </c>
      <c r="O11" s="72" t="s">
        <v>115</v>
      </c>
      <c r="P11" s="73" t="s">
        <v>121</v>
      </c>
    </row>
    <row r="12" spans="1:16" ht="12.75" customHeight="1" thickBot="1">
      <c r="A12" s="10" t="str">
        <f t="shared" si="0"/>
        <v>IBVS 5929 </v>
      </c>
      <c r="B12" s="3" t="str">
        <f t="shared" si="1"/>
        <v>I</v>
      </c>
      <c r="C12" s="10">
        <f t="shared" si="2"/>
        <v>54951.901299999998</v>
      </c>
      <c r="D12" s="12" t="str">
        <f t="shared" si="3"/>
        <v>vis</v>
      </c>
      <c r="E12" s="69">
        <f>VLOOKUP(C12,Active!C$21:E$969,3,FALSE)</f>
        <v>5263.9967814413958</v>
      </c>
      <c r="F12" s="3" t="s">
        <v>67</v>
      </c>
      <c r="G12" s="12" t="str">
        <f t="shared" si="4"/>
        <v>54951.9013</v>
      </c>
      <c r="H12" s="10">
        <f t="shared" si="5"/>
        <v>5264</v>
      </c>
      <c r="I12" s="70" t="s">
        <v>79</v>
      </c>
      <c r="J12" s="71" t="s">
        <v>80</v>
      </c>
      <c r="K12" s="70">
        <v>5264</v>
      </c>
      <c r="L12" s="70" t="s">
        <v>81</v>
      </c>
      <c r="M12" s="71" t="s">
        <v>72</v>
      </c>
      <c r="N12" s="71" t="s">
        <v>82</v>
      </c>
      <c r="O12" s="72" t="s">
        <v>83</v>
      </c>
      <c r="P12" s="73" t="s">
        <v>84</v>
      </c>
    </row>
    <row r="13" spans="1:16" ht="12.75" customHeight="1" thickBot="1">
      <c r="A13" s="10" t="str">
        <f t="shared" si="0"/>
        <v>IBVS 5929 </v>
      </c>
      <c r="B13" s="3" t="str">
        <f t="shared" si="1"/>
        <v>I</v>
      </c>
      <c r="C13" s="10">
        <f t="shared" si="2"/>
        <v>55309.597840000002</v>
      </c>
      <c r="D13" s="12" t="str">
        <f t="shared" si="3"/>
        <v>vis</v>
      </c>
      <c r="E13" s="69">
        <f>VLOOKUP(C13,Active!C$21:E$969,3,FALSE)</f>
        <v>6031.9998206758974</v>
      </c>
      <c r="F13" s="3" t="s">
        <v>67</v>
      </c>
      <c r="G13" s="12" t="str">
        <f t="shared" si="4"/>
        <v>55309.59784</v>
      </c>
      <c r="H13" s="10">
        <f t="shared" si="5"/>
        <v>6032</v>
      </c>
      <c r="I13" s="70" t="s">
        <v>85</v>
      </c>
      <c r="J13" s="71" t="s">
        <v>86</v>
      </c>
      <c r="K13" s="70">
        <v>6032</v>
      </c>
      <c r="L13" s="70" t="s">
        <v>87</v>
      </c>
      <c r="M13" s="71" t="s">
        <v>72</v>
      </c>
      <c r="N13" s="71" t="s">
        <v>59</v>
      </c>
      <c r="O13" s="72" t="s">
        <v>88</v>
      </c>
      <c r="P13" s="73" t="s">
        <v>84</v>
      </c>
    </row>
    <row r="14" spans="1:16" ht="12.75" customHeight="1" thickBot="1">
      <c r="A14" s="10" t="str">
        <f t="shared" si="0"/>
        <v>BAVM 228 </v>
      </c>
      <c r="B14" s="3" t="str">
        <f t="shared" si="1"/>
        <v>II</v>
      </c>
      <c r="C14" s="10">
        <f t="shared" si="2"/>
        <v>55833.327799999999</v>
      </c>
      <c r="D14" s="12" t="str">
        <f t="shared" si="3"/>
        <v>vis</v>
      </c>
      <c r="E14" s="69">
        <f>VLOOKUP(C14,Active!C$21:E$969,3,FALSE)</f>
        <v>7156.4898731045751</v>
      </c>
      <c r="F14" s="3" t="s">
        <v>67</v>
      </c>
      <c r="G14" s="12" t="str">
        <f t="shared" si="4"/>
        <v>55833.3278</v>
      </c>
      <c r="H14" s="10">
        <f t="shared" si="5"/>
        <v>7156.5</v>
      </c>
      <c r="I14" s="70" t="s">
        <v>89</v>
      </c>
      <c r="J14" s="71" t="s">
        <v>90</v>
      </c>
      <c r="K14" s="70">
        <v>7156.5</v>
      </c>
      <c r="L14" s="70" t="s">
        <v>91</v>
      </c>
      <c r="M14" s="71" t="s">
        <v>72</v>
      </c>
      <c r="N14" s="71" t="s">
        <v>73</v>
      </c>
      <c r="O14" s="72" t="s">
        <v>92</v>
      </c>
      <c r="P14" s="73" t="s">
        <v>93</v>
      </c>
    </row>
    <row r="15" spans="1:16" ht="12.75" customHeight="1" thickBot="1">
      <c r="A15" s="10" t="str">
        <f t="shared" si="0"/>
        <v>IBVS 6050 </v>
      </c>
      <c r="B15" s="3" t="str">
        <f t="shared" si="1"/>
        <v>II</v>
      </c>
      <c r="C15" s="10">
        <f t="shared" si="2"/>
        <v>56146.782299999999</v>
      </c>
      <c r="D15" s="12" t="str">
        <f t="shared" si="3"/>
        <v>vis</v>
      </c>
      <c r="E15" s="69">
        <f>VLOOKUP(C15,Active!C$21:E$969,3,FALSE)</f>
        <v>7829.5017190165536</v>
      </c>
      <c r="F15" s="3" t="s">
        <v>67</v>
      </c>
      <c r="G15" s="12" t="str">
        <f t="shared" si="4"/>
        <v>56146.7823</v>
      </c>
      <c r="H15" s="10">
        <f t="shared" si="5"/>
        <v>7829.5</v>
      </c>
      <c r="I15" s="70" t="s">
        <v>99</v>
      </c>
      <c r="J15" s="71" t="s">
        <v>100</v>
      </c>
      <c r="K15" s="70">
        <v>7829.5</v>
      </c>
      <c r="L15" s="70" t="s">
        <v>101</v>
      </c>
      <c r="M15" s="71" t="s">
        <v>72</v>
      </c>
      <c r="N15" s="71" t="s">
        <v>97</v>
      </c>
      <c r="O15" s="72" t="s">
        <v>83</v>
      </c>
      <c r="P15" s="73" t="s">
        <v>98</v>
      </c>
    </row>
    <row r="16" spans="1:16" ht="12.75" customHeight="1" thickBot="1">
      <c r="A16" s="10" t="str">
        <f t="shared" si="0"/>
        <v>BAVM 238 </v>
      </c>
      <c r="B16" s="3" t="str">
        <f t="shared" si="1"/>
        <v>I</v>
      </c>
      <c r="C16" s="10">
        <f t="shared" si="2"/>
        <v>56814.431100000002</v>
      </c>
      <c r="D16" s="12" t="str">
        <f t="shared" si="3"/>
        <v>vis</v>
      </c>
      <c r="E16" s="69">
        <f>VLOOKUP(C16,Active!C$21:E$969,3,FALSE)</f>
        <v>9262.9970151725174</v>
      </c>
      <c r="F16" s="3" t="s">
        <v>67</v>
      </c>
      <c r="G16" s="12" t="str">
        <f t="shared" si="4"/>
        <v>56814.4311</v>
      </c>
      <c r="H16" s="10">
        <f t="shared" si="5"/>
        <v>9263</v>
      </c>
      <c r="I16" s="70" t="s">
        <v>111</v>
      </c>
      <c r="J16" s="71" t="s">
        <v>112</v>
      </c>
      <c r="K16" s="70">
        <v>9263</v>
      </c>
      <c r="L16" s="70" t="s">
        <v>113</v>
      </c>
      <c r="M16" s="71" t="s">
        <v>72</v>
      </c>
      <c r="N16" s="71" t="s">
        <v>114</v>
      </c>
      <c r="O16" s="72" t="s">
        <v>115</v>
      </c>
      <c r="P16" s="73" t="s">
        <v>116</v>
      </c>
    </row>
    <row r="17" spans="1:16" ht="12.75" customHeight="1" thickBot="1">
      <c r="A17" s="10" t="str">
        <f t="shared" si="0"/>
        <v>IBVS 5806 </v>
      </c>
      <c r="B17" s="3" t="str">
        <f t="shared" si="1"/>
        <v>II</v>
      </c>
      <c r="C17" s="10">
        <f t="shared" si="2"/>
        <v>53972.6656</v>
      </c>
      <c r="D17" s="12" t="str">
        <f t="shared" si="3"/>
        <v>vis</v>
      </c>
      <c r="E17" s="69" t="e">
        <f>VLOOKUP(C17,Active!C$21:E$969,3,FALSE)</f>
        <v>#N/A</v>
      </c>
      <c r="F17" s="3" t="s">
        <v>67</v>
      </c>
      <c r="G17" s="12" t="str">
        <f t="shared" si="4"/>
        <v>53972.6656</v>
      </c>
      <c r="H17" s="10">
        <f t="shared" si="5"/>
        <v>3161.5</v>
      </c>
      <c r="I17" s="70" t="s">
        <v>69</v>
      </c>
      <c r="J17" s="71" t="s">
        <v>70</v>
      </c>
      <c r="K17" s="70">
        <v>3161.5</v>
      </c>
      <c r="L17" s="70" t="s">
        <v>71</v>
      </c>
      <c r="M17" s="71" t="s">
        <v>72</v>
      </c>
      <c r="N17" s="71" t="s">
        <v>73</v>
      </c>
      <c r="O17" s="72" t="s">
        <v>74</v>
      </c>
      <c r="P17" s="73" t="s">
        <v>75</v>
      </c>
    </row>
    <row r="18" spans="1:16" ht="12.75" customHeight="1" thickBot="1">
      <c r="A18" s="10" t="str">
        <f t="shared" si="0"/>
        <v>IBVS 5806 </v>
      </c>
      <c r="B18" s="3" t="str">
        <f t="shared" si="1"/>
        <v>I</v>
      </c>
      <c r="C18" s="10">
        <f t="shared" si="2"/>
        <v>53976.624799999998</v>
      </c>
      <c r="D18" s="12" t="str">
        <f t="shared" si="3"/>
        <v>vis</v>
      </c>
      <c r="E18" s="69" t="e">
        <f>VLOOKUP(C18,Active!C$21:E$969,3,FALSE)</f>
        <v>#N/A</v>
      </c>
      <c r="F18" s="3" t="s">
        <v>67</v>
      </c>
      <c r="G18" s="12" t="str">
        <f t="shared" si="4"/>
        <v>53976.6248</v>
      </c>
      <c r="H18" s="10">
        <f t="shared" si="5"/>
        <v>3170</v>
      </c>
      <c r="I18" s="70" t="s">
        <v>76</v>
      </c>
      <c r="J18" s="71" t="s">
        <v>77</v>
      </c>
      <c r="K18" s="70">
        <v>3170</v>
      </c>
      <c r="L18" s="70" t="s">
        <v>78</v>
      </c>
      <c r="M18" s="71" t="s">
        <v>72</v>
      </c>
      <c r="N18" s="71" t="s">
        <v>73</v>
      </c>
      <c r="O18" s="72" t="s">
        <v>74</v>
      </c>
      <c r="P18" s="73" t="s">
        <v>75</v>
      </c>
    </row>
    <row r="19" spans="1:16" ht="12.75" customHeight="1" thickBot="1">
      <c r="A19" s="10" t="str">
        <f t="shared" si="0"/>
        <v>IBVS 6050 </v>
      </c>
      <c r="B19" s="3" t="str">
        <f t="shared" si="1"/>
        <v>I</v>
      </c>
      <c r="C19" s="10">
        <f t="shared" si="2"/>
        <v>56143.7546</v>
      </c>
      <c r="D19" s="12" t="str">
        <f t="shared" si="3"/>
        <v>vis</v>
      </c>
      <c r="E19" s="69" t="e">
        <f>VLOOKUP(C19,Active!C$21:E$969,3,FALSE)</f>
        <v>#N/A</v>
      </c>
      <c r="F19" s="3" t="s">
        <v>67</v>
      </c>
      <c r="G19" s="12" t="str">
        <f t="shared" si="4"/>
        <v>56143.7546</v>
      </c>
      <c r="H19" s="10">
        <f t="shared" si="5"/>
        <v>7823</v>
      </c>
      <c r="I19" s="70" t="s">
        <v>94</v>
      </c>
      <c r="J19" s="71" t="s">
        <v>95</v>
      </c>
      <c r="K19" s="70">
        <v>7823</v>
      </c>
      <c r="L19" s="70" t="s">
        <v>96</v>
      </c>
      <c r="M19" s="71" t="s">
        <v>72</v>
      </c>
      <c r="N19" s="71" t="s">
        <v>97</v>
      </c>
      <c r="O19" s="72" t="s">
        <v>83</v>
      </c>
      <c r="P19" s="73" t="s">
        <v>98</v>
      </c>
    </row>
    <row r="20" spans="1:16" ht="12.75" customHeight="1" thickBot="1">
      <c r="A20" s="10" t="str">
        <f t="shared" si="0"/>
        <v>VSB 55 </v>
      </c>
      <c r="B20" s="3" t="str">
        <f t="shared" si="1"/>
        <v>I</v>
      </c>
      <c r="C20" s="10">
        <f t="shared" si="2"/>
        <v>56147.015099999997</v>
      </c>
      <c r="D20" s="12" t="str">
        <f t="shared" si="3"/>
        <v>vis</v>
      </c>
      <c r="E20" s="69">
        <f>VLOOKUP(C20,Active!C$21:E$969,3,FALSE)</f>
        <v>7830.0015592093951</v>
      </c>
      <c r="F20" s="3" t="s">
        <v>67</v>
      </c>
      <c r="G20" s="12" t="str">
        <f t="shared" si="4"/>
        <v>56147.0151</v>
      </c>
      <c r="H20" s="10">
        <f t="shared" si="5"/>
        <v>7830</v>
      </c>
      <c r="I20" s="70" t="s">
        <v>102</v>
      </c>
      <c r="J20" s="71" t="s">
        <v>103</v>
      </c>
      <c r="K20" s="70">
        <v>7830</v>
      </c>
      <c r="L20" s="70" t="s">
        <v>104</v>
      </c>
      <c r="M20" s="71" t="s">
        <v>72</v>
      </c>
      <c r="N20" s="71" t="s">
        <v>105</v>
      </c>
      <c r="O20" s="72" t="s">
        <v>106</v>
      </c>
      <c r="P20" s="73" t="s">
        <v>107</v>
      </c>
    </row>
    <row r="21" spans="1:16" ht="12.75" customHeight="1" thickBot="1">
      <c r="A21" s="10" t="str">
        <f t="shared" si="0"/>
        <v>IBVS 6050 </v>
      </c>
      <c r="B21" s="3" t="str">
        <f t="shared" si="1"/>
        <v>I</v>
      </c>
      <c r="C21" s="10">
        <f t="shared" si="2"/>
        <v>56149.885799999996</v>
      </c>
      <c r="D21" s="12" t="str">
        <f t="shared" si="3"/>
        <v>vis</v>
      </c>
      <c r="E21" s="69" t="e">
        <f>VLOOKUP(C21,Active!C$21:E$969,3,FALSE)</f>
        <v>#N/A</v>
      </c>
      <c r="F21" s="3" t="s">
        <v>67</v>
      </c>
      <c r="G21" s="12" t="str">
        <f t="shared" si="4"/>
        <v>56149.8858</v>
      </c>
      <c r="H21" s="10">
        <f t="shared" si="5"/>
        <v>7836</v>
      </c>
      <c r="I21" s="70" t="s">
        <v>108</v>
      </c>
      <c r="J21" s="71" t="s">
        <v>109</v>
      </c>
      <c r="K21" s="70">
        <v>7836</v>
      </c>
      <c r="L21" s="70" t="s">
        <v>110</v>
      </c>
      <c r="M21" s="71" t="s">
        <v>72</v>
      </c>
      <c r="N21" s="71" t="s">
        <v>97</v>
      </c>
      <c r="O21" s="72" t="s">
        <v>83</v>
      </c>
      <c r="P21" s="73" t="s">
        <v>98</v>
      </c>
    </row>
    <row r="22" spans="1:16">
      <c r="B22" s="3"/>
      <c r="E22" s="69"/>
      <c r="F22" s="3"/>
    </row>
    <row r="23" spans="1:16">
      <c r="B23" s="3"/>
      <c r="E23" s="69"/>
      <c r="F23" s="3"/>
    </row>
    <row r="24" spans="1:16">
      <c r="B24" s="3"/>
      <c r="E24" s="69"/>
      <c r="F24" s="3"/>
    </row>
    <row r="25" spans="1:16">
      <c r="B25" s="3"/>
      <c r="E25" s="69"/>
      <c r="F25" s="3"/>
    </row>
    <row r="26" spans="1:16">
      <c r="B26" s="3"/>
      <c r="E26" s="69"/>
      <c r="F26" s="3"/>
    </row>
    <row r="27" spans="1:16">
      <c r="B27" s="3"/>
      <c r="E27" s="69"/>
      <c r="F27" s="3"/>
    </row>
    <row r="28" spans="1:16">
      <c r="B28" s="3"/>
      <c r="E28" s="69"/>
      <c r="F28" s="3"/>
    </row>
    <row r="29" spans="1:16">
      <c r="B29" s="3"/>
      <c r="E29" s="69"/>
      <c r="F29" s="3"/>
    </row>
    <row r="30" spans="1:16">
      <c r="B30" s="3"/>
      <c r="E30" s="69"/>
      <c r="F30" s="3"/>
    </row>
    <row r="31" spans="1:16">
      <c r="B31" s="3"/>
      <c r="E31" s="69"/>
      <c r="F31" s="3"/>
    </row>
    <row r="32" spans="1:16">
      <c r="B32" s="3"/>
      <c r="E32" s="69"/>
      <c r="F32" s="3"/>
    </row>
    <row r="33" spans="2:6">
      <c r="B33" s="3"/>
      <c r="E33" s="69"/>
      <c r="F33" s="3"/>
    </row>
    <row r="34" spans="2:6">
      <c r="B34" s="3"/>
      <c r="E34" s="69"/>
      <c r="F34" s="3"/>
    </row>
    <row r="35" spans="2:6">
      <c r="B35" s="3"/>
      <c r="E35" s="69"/>
      <c r="F35" s="3"/>
    </row>
    <row r="36" spans="2:6">
      <c r="B36" s="3"/>
      <c r="E36" s="69"/>
      <c r="F36" s="3"/>
    </row>
    <row r="37" spans="2:6">
      <c r="B37" s="3"/>
      <c r="E37" s="69"/>
      <c r="F37" s="3"/>
    </row>
    <row r="38" spans="2:6">
      <c r="B38" s="3"/>
      <c r="E38" s="69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</sheetData>
  <phoneticPr fontId="7" type="noConversion"/>
  <hyperlinks>
    <hyperlink ref="P17" r:id="rId1" display="http://www.konkoly.hu/cgi-bin/IBVS?5806"/>
    <hyperlink ref="P18" r:id="rId2" display="http://www.konkoly.hu/cgi-bin/IBVS?5806"/>
    <hyperlink ref="P12" r:id="rId3" display="http://www.konkoly.hu/cgi-bin/IBVS?5929"/>
    <hyperlink ref="P13" r:id="rId4" display="http://www.konkoly.hu/cgi-bin/IBVS?5929"/>
    <hyperlink ref="P14" r:id="rId5" display="http://www.bav-astro.de/sfs/BAVM_link.php?BAVMnr=228"/>
    <hyperlink ref="P19" r:id="rId6" display="http://www.konkoly.hu/cgi-bin/IBVS?6050"/>
    <hyperlink ref="P15" r:id="rId7" display="http://www.konkoly.hu/cgi-bin/IBVS?6050"/>
    <hyperlink ref="P20" r:id="rId8" display="http://vsolj.cetus-net.org/vsoljno55.pdf"/>
    <hyperlink ref="P21" r:id="rId9" display="http://www.konkoly.hu/cgi-bin/IBVS?6050"/>
    <hyperlink ref="P16" r:id="rId10" display="http://www.bav-astro.de/sfs/BAVM_link.php?BAVMnr=238"/>
    <hyperlink ref="P11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2023-01-13T05:09:13Z</dcterms:modified>
</cp:coreProperties>
</file>