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0AEE66C-2C81-45B3-A5FF-5ABCCD108BBD}" xr6:coauthVersionLast="47" xr6:coauthVersionMax="47" xr10:uidLastSave="{00000000-0000-0000-0000-000000000000}"/>
  <bookViews>
    <workbookView xWindow="13980" yWindow="765" windowWidth="12975" windowHeight="14640"/>
  </bookViews>
  <sheets>
    <sheet name="Active" sheetId="4" r:id="rId1"/>
    <sheet name="BAV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4" l="1"/>
  <c r="F59" i="4" s="1"/>
  <c r="G59" i="4" s="1"/>
  <c r="K59" i="4" s="1"/>
  <c r="Q59" i="4"/>
  <c r="Q57" i="4"/>
  <c r="Q58" i="4"/>
  <c r="C7" i="4"/>
  <c r="E57" i="4"/>
  <c r="F57" i="4" s="1"/>
  <c r="G57" i="4" s="1"/>
  <c r="K57" i="4" s="1"/>
  <c r="K33" i="4"/>
  <c r="K39" i="4"/>
  <c r="D9" i="4"/>
  <c r="C9" i="4"/>
  <c r="E37" i="4"/>
  <c r="F37" i="4" s="1"/>
  <c r="G37" i="4" s="1"/>
  <c r="J37" i="4" s="1"/>
  <c r="E42" i="4"/>
  <c r="F42" i="4" s="1"/>
  <c r="G42" i="4" s="1"/>
  <c r="J42" i="4" s="1"/>
  <c r="E25" i="4"/>
  <c r="F25" i="4"/>
  <c r="G25" i="4" s="1"/>
  <c r="K25" i="4" s="1"/>
  <c r="E27" i="4"/>
  <c r="F27" i="4"/>
  <c r="G27" i="4" s="1"/>
  <c r="K27" i="4" s="1"/>
  <c r="E29" i="4"/>
  <c r="F29" i="4" s="1"/>
  <c r="G29" i="4" s="1"/>
  <c r="K29" i="4" s="1"/>
  <c r="E30" i="4"/>
  <c r="F30" i="4"/>
  <c r="E34" i="4"/>
  <c r="F34" i="4" s="1"/>
  <c r="G34" i="4" s="1"/>
  <c r="K34" i="4" s="1"/>
  <c r="E38" i="4"/>
  <c r="F38" i="4"/>
  <c r="G38" i="4" s="1"/>
  <c r="K38" i="4" s="1"/>
  <c r="E39" i="4"/>
  <c r="F39" i="4"/>
  <c r="Q45" i="4"/>
  <c r="Q44" i="4"/>
  <c r="Q24" i="4"/>
  <c r="G39" i="5"/>
  <c r="C39" i="5" s="1"/>
  <c r="E39" i="5" s="1"/>
  <c r="G38" i="5"/>
  <c r="C38" i="5" s="1"/>
  <c r="E38" i="5" s="1"/>
  <c r="G37" i="5"/>
  <c r="C37" i="5" s="1"/>
  <c r="E37" i="5" s="1"/>
  <c r="G36" i="5"/>
  <c r="C36" i="5" s="1"/>
  <c r="E36" i="5" s="1"/>
  <c r="G35" i="5"/>
  <c r="C35" i="5" s="1"/>
  <c r="E35" i="5" s="1"/>
  <c r="G34" i="5"/>
  <c r="C34" i="5" s="1"/>
  <c r="E34" i="5" s="1"/>
  <c r="G33" i="5"/>
  <c r="C33" i="5" s="1"/>
  <c r="E33" i="5" s="1"/>
  <c r="G32" i="5"/>
  <c r="C32" i="5" s="1"/>
  <c r="E32" i="5" s="1"/>
  <c r="G31" i="5"/>
  <c r="C31" i="5" s="1"/>
  <c r="E31" i="5" s="1"/>
  <c r="G30" i="5"/>
  <c r="C30" i="5" s="1"/>
  <c r="E30" i="5" s="1"/>
  <c r="G29" i="5"/>
  <c r="C29" i="5" s="1"/>
  <c r="E29" i="5" s="1"/>
  <c r="G44" i="5"/>
  <c r="C44" i="5" s="1"/>
  <c r="E44" i="5" s="1"/>
  <c r="G43" i="5"/>
  <c r="C43" i="5" s="1"/>
  <c r="E43" i="5" s="1"/>
  <c r="G42" i="5"/>
  <c r="C42" i="5" s="1"/>
  <c r="E42" i="5" s="1"/>
  <c r="G28" i="5"/>
  <c r="C28" i="5"/>
  <c r="G27" i="5"/>
  <c r="C27" i="5" s="1"/>
  <c r="E27" i="5" s="1"/>
  <c r="G26" i="5"/>
  <c r="C26" i="5"/>
  <c r="E26" i="5" s="1"/>
  <c r="G25" i="5"/>
  <c r="C25" i="5" s="1"/>
  <c r="E25" i="5" s="1"/>
  <c r="G24" i="5"/>
  <c r="C24" i="5" s="1"/>
  <c r="E24" i="5" s="1"/>
  <c r="G23" i="5"/>
  <c r="C23" i="5" s="1"/>
  <c r="E23" i="5" s="1"/>
  <c r="G22" i="5"/>
  <c r="C22" i="5" s="1"/>
  <c r="E22" i="5" s="1"/>
  <c r="G21" i="5"/>
  <c r="C21" i="5" s="1"/>
  <c r="E21" i="5" s="1"/>
  <c r="G20" i="5"/>
  <c r="C20" i="5"/>
  <c r="E20" i="5" s="1"/>
  <c r="G19" i="5"/>
  <c r="C19" i="5"/>
  <c r="G18" i="5"/>
  <c r="C18" i="5"/>
  <c r="G17" i="5"/>
  <c r="C17" i="5" s="1"/>
  <c r="E17" i="5" s="1"/>
  <c r="G41" i="5"/>
  <c r="C41" i="5" s="1"/>
  <c r="E41" i="5" s="1"/>
  <c r="G16" i="5"/>
  <c r="C16" i="5"/>
  <c r="G15" i="5"/>
  <c r="C15" i="5" s="1"/>
  <c r="E15" i="5" s="1"/>
  <c r="G14" i="5"/>
  <c r="C14" i="5" s="1"/>
  <c r="E14" i="5" s="1"/>
  <c r="G13" i="5"/>
  <c r="C13" i="5" s="1"/>
  <c r="E13" i="5" s="1"/>
  <c r="G40" i="5"/>
  <c r="C40" i="5" s="1"/>
  <c r="E40" i="5" s="1"/>
  <c r="G12" i="5"/>
  <c r="C12" i="5"/>
  <c r="E12" i="5" s="1"/>
  <c r="G11" i="5"/>
  <c r="C11" i="5"/>
  <c r="H39" i="5"/>
  <c r="D39" i="5"/>
  <c r="B39" i="5"/>
  <c r="A39" i="5"/>
  <c r="H38" i="5"/>
  <c r="B38" i="5"/>
  <c r="D38" i="5"/>
  <c r="A38" i="5"/>
  <c r="H37" i="5"/>
  <c r="D37" i="5"/>
  <c r="B37" i="5"/>
  <c r="A37" i="5"/>
  <c r="H36" i="5"/>
  <c r="B36" i="5"/>
  <c r="D36" i="5"/>
  <c r="A36" i="5"/>
  <c r="H35" i="5"/>
  <c r="D35" i="5"/>
  <c r="B35" i="5"/>
  <c r="A35" i="5"/>
  <c r="H34" i="5"/>
  <c r="B34" i="5"/>
  <c r="D34" i="5"/>
  <c r="A34" i="5"/>
  <c r="H33" i="5"/>
  <c r="D33" i="5"/>
  <c r="B33" i="5"/>
  <c r="A33" i="5"/>
  <c r="H32" i="5"/>
  <c r="B32" i="5"/>
  <c r="D32" i="5"/>
  <c r="A32" i="5"/>
  <c r="H31" i="5"/>
  <c r="D31" i="5"/>
  <c r="B31" i="5"/>
  <c r="A31" i="5"/>
  <c r="H30" i="5"/>
  <c r="B30" i="5"/>
  <c r="D30" i="5"/>
  <c r="A30" i="5"/>
  <c r="H29" i="5"/>
  <c r="D29" i="5"/>
  <c r="B29" i="5"/>
  <c r="A29" i="5"/>
  <c r="H44" i="5"/>
  <c r="B44" i="5"/>
  <c r="D44" i="5"/>
  <c r="A44" i="5"/>
  <c r="H43" i="5"/>
  <c r="D43" i="5"/>
  <c r="B43" i="5"/>
  <c r="A43" i="5"/>
  <c r="H42" i="5"/>
  <c r="B42" i="5"/>
  <c r="D42" i="5"/>
  <c r="A42" i="5"/>
  <c r="H28" i="5"/>
  <c r="D28" i="5"/>
  <c r="B28" i="5"/>
  <c r="A28" i="5"/>
  <c r="H27" i="5"/>
  <c r="B27" i="5"/>
  <c r="D27" i="5"/>
  <c r="A27" i="5"/>
  <c r="H26" i="5"/>
  <c r="D26" i="5"/>
  <c r="B26" i="5"/>
  <c r="A26" i="5"/>
  <c r="H25" i="5"/>
  <c r="B25" i="5"/>
  <c r="D25" i="5"/>
  <c r="A25" i="5"/>
  <c r="H24" i="5"/>
  <c r="D24" i="5"/>
  <c r="B24" i="5"/>
  <c r="A24" i="5"/>
  <c r="H23" i="5"/>
  <c r="B23" i="5"/>
  <c r="D23" i="5"/>
  <c r="A23" i="5"/>
  <c r="H22" i="5"/>
  <c r="D22" i="5"/>
  <c r="B22" i="5"/>
  <c r="A22" i="5"/>
  <c r="H21" i="5"/>
  <c r="B21" i="5"/>
  <c r="D21" i="5"/>
  <c r="A21" i="5"/>
  <c r="H20" i="5"/>
  <c r="D20" i="5"/>
  <c r="B20" i="5"/>
  <c r="A20" i="5"/>
  <c r="H19" i="5"/>
  <c r="B19" i="5"/>
  <c r="D19" i="5"/>
  <c r="A19" i="5"/>
  <c r="H18" i="5"/>
  <c r="D18" i="5"/>
  <c r="B18" i="5"/>
  <c r="A18" i="5"/>
  <c r="H17" i="5"/>
  <c r="B17" i="5"/>
  <c r="D17" i="5"/>
  <c r="A17" i="5"/>
  <c r="H41" i="5"/>
  <c r="D41" i="5"/>
  <c r="B41" i="5"/>
  <c r="A41" i="5"/>
  <c r="H16" i="5"/>
  <c r="B16" i="5"/>
  <c r="D16" i="5"/>
  <c r="A16" i="5"/>
  <c r="H15" i="5"/>
  <c r="D15" i="5"/>
  <c r="B15" i="5"/>
  <c r="A15" i="5"/>
  <c r="H14" i="5"/>
  <c r="B14" i="5"/>
  <c r="D14" i="5"/>
  <c r="A14" i="5"/>
  <c r="H13" i="5"/>
  <c r="D13" i="5"/>
  <c r="B13" i="5"/>
  <c r="A13" i="5"/>
  <c r="H40" i="5"/>
  <c r="B40" i="5"/>
  <c r="D40" i="5"/>
  <c r="A40" i="5"/>
  <c r="H12" i="5"/>
  <c r="D12" i="5"/>
  <c r="B12" i="5"/>
  <c r="A12" i="5"/>
  <c r="H11" i="5"/>
  <c r="B11" i="5"/>
  <c r="D11" i="5"/>
  <c r="A11" i="5"/>
  <c r="Q50" i="4"/>
  <c r="Q47" i="4"/>
  <c r="Q48" i="4"/>
  <c r="Q49" i="4"/>
  <c r="Q51" i="4"/>
  <c r="Q52" i="4"/>
  <c r="Q53" i="4"/>
  <c r="Q54" i="4"/>
  <c r="Q55" i="4"/>
  <c r="Q56" i="4"/>
  <c r="Q46" i="4"/>
  <c r="F17" i="4"/>
  <c r="C17" i="4"/>
  <c r="Q21" i="4"/>
  <c r="Q22" i="4"/>
  <c r="Q23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E52" i="4"/>
  <c r="F52" i="4" s="1"/>
  <c r="G52" i="4" s="1"/>
  <c r="K52" i="4" s="1"/>
  <c r="E44" i="4"/>
  <c r="F44" i="4"/>
  <c r="G44" i="4" s="1"/>
  <c r="K44" i="4" s="1"/>
  <c r="E40" i="4"/>
  <c r="F40" i="4"/>
  <c r="G40" i="4" s="1"/>
  <c r="J40" i="4" s="1"/>
  <c r="E32" i="4"/>
  <c r="F32" i="4" s="1"/>
  <c r="G32" i="4" s="1"/>
  <c r="K32" i="4" s="1"/>
  <c r="E49" i="4"/>
  <c r="F49" i="4" s="1"/>
  <c r="G49" i="4" s="1"/>
  <c r="K49" i="4" s="1"/>
  <c r="E35" i="4"/>
  <c r="F35" i="4"/>
  <c r="G35" i="4" s="1"/>
  <c r="J35" i="4" s="1"/>
  <c r="E54" i="4"/>
  <c r="F54" i="4"/>
  <c r="G54" i="4" s="1"/>
  <c r="K54" i="4" s="1"/>
  <c r="E46" i="4"/>
  <c r="F46" i="4"/>
  <c r="G46" i="4" s="1"/>
  <c r="K46" i="4" s="1"/>
  <c r="E22" i="4"/>
  <c r="F22" i="4"/>
  <c r="G22" i="4" s="1"/>
  <c r="K22" i="4" s="1"/>
  <c r="E51" i="4"/>
  <c r="F51" i="4"/>
  <c r="G51" i="4" s="1"/>
  <c r="K51" i="4" s="1"/>
  <c r="E58" i="4"/>
  <c r="F58" i="4"/>
  <c r="G58" i="4" s="1"/>
  <c r="K58" i="4" s="1"/>
  <c r="E43" i="4"/>
  <c r="F43" i="4"/>
  <c r="G43" i="4" s="1"/>
  <c r="K43" i="4" s="1"/>
  <c r="E56" i="4"/>
  <c r="F56" i="4" s="1"/>
  <c r="G56" i="4" s="1"/>
  <c r="K56" i="4" s="1"/>
  <c r="E48" i="4"/>
  <c r="F48" i="4"/>
  <c r="G48" i="4" s="1"/>
  <c r="K48" i="4" s="1"/>
  <c r="E33" i="4"/>
  <c r="F33" i="4" s="1"/>
  <c r="E26" i="4"/>
  <c r="F26" i="4" s="1"/>
  <c r="G26" i="4" s="1"/>
  <c r="K26" i="4" s="1"/>
  <c r="E53" i="4"/>
  <c r="F53" i="4"/>
  <c r="G53" i="4" s="1"/>
  <c r="K53" i="4" s="1"/>
  <c r="E45" i="4"/>
  <c r="F45" i="4" s="1"/>
  <c r="G45" i="4" s="1"/>
  <c r="K45" i="4" s="1"/>
  <c r="E31" i="4"/>
  <c r="F31" i="4" s="1"/>
  <c r="G31" i="4" s="1"/>
  <c r="K31" i="4" s="1"/>
  <c r="E41" i="4"/>
  <c r="F41" i="4"/>
  <c r="G41" i="4" s="1"/>
  <c r="J41" i="4" s="1"/>
  <c r="E50" i="4"/>
  <c r="F50" i="4" s="1"/>
  <c r="G50" i="4" s="1"/>
  <c r="J50" i="4" s="1"/>
  <c r="G30" i="4"/>
  <c r="K30" i="4"/>
  <c r="E28" i="4"/>
  <c r="F28" i="4" s="1"/>
  <c r="G28" i="4" s="1"/>
  <c r="K28" i="4" s="1"/>
  <c r="E36" i="4"/>
  <c r="F36" i="4" s="1"/>
  <c r="G36" i="4" s="1"/>
  <c r="J36" i="4" s="1"/>
  <c r="E24" i="4"/>
  <c r="F24" i="4"/>
  <c r="G24" i="4" s="1"/>
  <c r="K24" i="4" s="1"/>
  <c r="E23" i="4"/>
  <c r="F23" i="4"/>
  <c r="G23" i="4" s="1"/>
  <c r="K23" i="4" s="1"/>
  <c r="E21" i="4"/>
  <c r="E55" i="4"/>
  <c r="F55" i="4" s="1"/>
  <c r="G55" i="4" s="1"/>
  <c r="K55" i="4" s="1"/>
  <c r="E47" i="4"/>
  <c r="F47" i="4" s="1"/>
  <c r="G47" i="4" s="1"/>
  <c r="K47" i="4" s="1"/>
  <c r="F21" i="4"/>
  <c r="G21" i="4" s="1"/>
  <c r="K21" i="4" s="1"/>
  <c r="E11" i="5"/>
  <c r="E28" i="5"/>
  <c r="E16" i="5"/>
  <c r="E19" i="5"/>
  <c r="C12" i="4"/>
  <c r="C11" i="4"/>
  <c r="O59" i="4" l="1"/>
  <c r="R59" i="4" s="1"/>
  <c r="O57" i="4"/>
  <c r="R57" i="4" s="1"/>
  <c r="O33" i="4"/>
  <c r="R33" i="4" s="1"/>
  <c r="O55" i="4"/>
  <c r="R55" i="4" s="1"/>
  <c r="O52" i="4"/>
  <c r="R52" i="4" s="1"/>
  <c r="O40" i="4"/>
  <c r="R40" i="4" s="1"/>
  <c r="O50" i="4"/>
  <c r="R50" i="4" s="1"/>
  <c r="O25" i="4"/>
  <c r="R25" i="4" s="1"/>
  <c r="O43" i="4"/>
  <c r="R43" i="4" s="1"/>
  <c r="O47" i="4"/>
  <c r="R47" i="4" s="1"/>
  <c r="O30" i="4"/>
  <c r="R30" i="4" s="1"/>
  <c r="O24" i="4"/>
  <c r="R24" i="4" s="1"/>
  <c r="O31" i="4"/>
  <c r="R31" i="4" s="1"/>
  <c r="O48" i="4"/>
  <c r="R48" i="4" s="1"/>
  <c r="C15" i="4"/>
  <c r="O28" i="4"/>
  <c r="R28" i="4" s="1"/>
  <c r="O29" i="4"/>
  <c r="R29" i="4" s="1"/>
  <c r="O53" i="4"/>
  <c r="R53" i="4" s="1"/>
  <c r="O51" i="4"/>
  <c r="R51" i="4" s="1"/>
  <c r="O56" i="4"/>
  <c r="R56" i="4" s="1"/>
  <c r="O32" i="4"/>
  <c r="R32" i="4" s="1"/>
  <c r="O54" i="4"/>
  <c r="R54" i="4" s="1"/>
  <c r="O35" i="4"/>
  <c r="R35" i="4" s="1"/>
  <c r="O37" i="4"/>
  <c r="R37" i="4" s="1"/>
  <c r="O23" i="4"/>
  <c r="R23" i="4" s="1"/>
  <c r="O42" i="4"/>
  <c r="R42" i="4" s="1"/>
  <c r="O44" i="4"/>
  <c r="R44" i="4" s="1"/>
  <c r="O36" i="4"/>
  <c r="R36" i="4" s="1"/>
  <c r="O34" i="4"/>
  <c r="R34" i="4" s="1"/>
  <c r="O21" i="4"/>
  <c r="R21" i="4" s="1"/>
  <c r="O41" i="4"/>
  <c r="R41" i="4" s="1"/>
  <c r="O22" i="4"/>
  <c r="R22" i="4" s="1"/>
  <c r="O46" i="4"/>
  <c r="R46" i="4" s="1"/>
  <c r="O49" i="4"/>
  <c r="R49" i="4" s="1"/>
  <c r="O38" i="4"/>
  <c r="R38" i="4" s="1"/>
  <c r="O58" i="4"/>
  <c r="R58" i="4" s="1"/>
  <c r="O26" i="4"/>
  <c r="R26" i="4" s="1"/>
  <c r="O45" i="4"/>
  <c r="R45" i="4" s="1"/>
  <c r="O27" i="4"/>
  <c r="R27" i="4" s="1"/>
  <c r="O39" i="4"/>
  <c r="R39" i="4" s="1"/>
  <c r="C16" i="4"/>
  <c r="D18" i="4" s="1"/>
  <c r="E18" i="5"/>
  <c r="F18" i="4" l="1"/>
  <c r="F19" i="4" s="1"/>
  <c r="C18" i="4"/>
  <c r="R15" i="4"/>
  <c r="R16" i="4"/>
  <c r="R17" i="4" l="1"/>
</calcChain>
</file>

<file path=xl/sharedStrings.xml><?xml version="1.0" encoding="utf-8"?>
<sst xmlns="http://schemas.openxmlformats.org/spreadsheetml/2006/main" count="424" uniqueCount="213">
  <si>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</si>
  <si>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</si>
  <si>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</si>
  <si>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</si>
  <si>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</si>
  <si>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</si>
  <si>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</si>
  <si>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</si>
  <si>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</si>
  <si>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</si>
  <si>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</si>
  <si>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</si>
  <si>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</si>
  <si>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</si>
  <si>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</si>
  <si>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</si>
  <si>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</si>
  <si>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</si>
  <si>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</si>
  <si>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</si>
  <si>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</si>
  <si>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</si>
  <si>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</si>
  <si>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</si>
  <si>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</si>
  <si>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Misc</t>
  </si>
  <si>
    <t>IBVS 5263</t>
  </si>
  <si>
    <t>IBVS 5583</t>
  </si>
  <si>
    <t>IBVS 5543</t>
  </si>
  <si>
    <t>IBVS 5643</t>
  </si>
  <si>
    <t>IBVS 5263 Eph.</t>
  </si>
  <si>
    <t>V2239 Cyg / GSC 3151-2126</t>
  </si>
  <si>
    <t>EA</t>
  </si>
  <si>
    <t>IBVS 5657</t>
  </si>
  <si>
    <t>sum =</t>
  </si>
  <si>
    <t xml:space="preserve">Count = </t>
  </si>
  <si>
    <t>rms dev'n =</t>
  </si>
  <si>
    <t>From ToMcat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</si>
  <si>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</si>
  <si>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</si>
  <si>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</si>
  <si>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</si>
  <si>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</si>
  <si>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</si>
  <si>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</si>
  <si>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</si>
  <si>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</si>
  <si>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</si>
  <si>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</si>
  <si>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CCD+V</t>
  </si>
  <si>
    <t>OEJV 0107</t>
  </si>
  <si>
    <t>This period is better</t>
  </si>
  <si>
    <t>IBVS 5945</t>
  </si>
  <si>
    <t>II</t>
  </si>
  <si>
    <t>OEJV 0160</t>
  </si>
  <si>
    <t>IBVS 6048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</si>
  <si>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</si>
  <si>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</si>
  <si>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</si>
  <si>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</si>
  <si>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</si>
  <si>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</si>
  <si>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</si>
  <si>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</si>
  <si>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</si>
  <si>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</si>
  <si>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</si>
  <si>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2451427.4094 </t>
  </si>
  <si>
    <t> 05.09.1999 21:49 </t>
  </si>
  <si>
    <t> -0.0007 </t>
  </si>
  <si>
    <t>E </t>
  </si>
  <si>
    <t>?</t>
  </si>
  <si>
    <t> J.Safar </t>
  </si>
  <si>
    <t>IBVS 4819/5263 </t>
  </si>
  <si>
    <t>2451435.3488 </t>
  </si>
  <si>
    <t> 13.09.1999 20:22 </t>
  </si>
  <si>
    <t> 0.0009 </t>
  </si>
  <si>
    <t> M.Zejda </t>
  </si>
  <si>
    <t>2451449.3887 </t>
  </si>
  <si>
    <t> 27.09.1999 21:19 </t>
  </si>
  <si>
    <t> -0.0029 </t>
  </si>
  <si>
    <t>2451684.47166 </t>
  </si>
  <si>
    <t> 19.05.2000 23:19 </t>
  </si>
  <si>
    <t> 0.00068 </t>
  </si>
  <si>
    <t>C </t>
  </si>
  <si>
    <t>o</t>
  </si>
  <si>
    <t> J.Šafár </t>
  </si>
  <si>
    <t>OEJV 0074 </t>
  </si>
  <si>
    <t>2451698.51412 </t>
  </si>
  <si>
    <t> 03.06.2000 00:20 </t>
  </si>
  <si>
    <t> -0.00056 </t>
  </si>
  <si>
    <t>2451731.479 </t>
  </si>
  <si>
    <t> 05.07.2000 23:29 </t>
  </si>
  <si>
    <t> -0.008 </t>
  </si>
  <si>
    <t>V </t>
  </si>
  <si>
    <t> P.Lutcha </t>
  </si>
  <si>
    <t>2451731.488 </t>
  </si>
  <si>
    <t> 05.07.2000 23:42 </t>
  </si>
  <si>
    <t> 0.001 </t>
  </si>
  <si>
    <t> P.Sobotka </t>
  </si>
  <si>
    <t>2451731.489 </t>
  </si>
  <si>
    <t> 05.07.2000 23:44 </t>
  </si>
  <si>
    <t> 0.002 </t>
  </si>
  <si>
    <t> A.Dedoch </t>
  </si>
  <si>
    <t>2451838.34138 </t>
  </si>
  <si>
    <t> 20.10.2000 20:11 </t>
  </si>
  <si>
    <t> 0.00024 </t>
  </si>
  <si>
    <t>2452087.46568 </t>
  </si>
  <si>
    <t> 26.06.2001 23:10 </t>
  </si>
  <si>
    <t> 0.00141 </t>
  </si>
  <si>
    <t>2452145.4678 </t>
  </si>
  <si>
    <t> 23.08.2001 23:13 </t>
  </si>
  <si>
    <t> -0.0031 </t>
  </si>
  <si>
    <t>IBVS 5583 </t>
  </si>
  <si>
    <t>2452146.545 </t>
  </si>
  <si>
    <t> 25.08.2001 01:04 </t>
  </si>
  <si>
    <t> -0.147 </t>
  </si>
  <si>
    <t> J.Vandenbroere </t>
  </si>
  <si>
    <t> BBS 130 </t>
  </si>
  <si>
    <t>2452197.37098 </t>
  </si>
  <si>
    <t> 14.10.2001 20:54 </t>
  </si>
  <si>
    <t> -0.00055 </t>
  </si>
  <si>
    <t>2452835.4431 </t>
  </si>
  <si>
    <t> 14.07.2003 22:38 </t>
  </si>
  <si>
    <t> -0.0011 </t>
  </si>
  <si>
    <t>-I</t>
  </si>
  <si>
    <t> F.Agerer </t>
  </si>
  <si>
    <t>BAVM 172 </t>
  </si>
  <si>
    <t>2452846.4344 </t>
  </si>
  <si>
    <t> 25.07.2003 22:25 </t>
  </si>
  <si>
    <t>567</t>
  </si>
  <si>
    <t> -0.0006 </t>
  </si>
  <si>
    <t>2452868.4173 </t>
  </si>
  <si>
    <t> 16.08.2003 22:00 </t>
  </si>
  <si>
    <t>603</t>
  </si>
  <si>
    <t> P.Frank </t>
  </si>
  <si>
    <t>2452874.52340 </t>
  </si>
  <si>
    <t> 23.08.2003 00:33 </t>
  </si>
  <si>
    <t>613</t>
  </si>
  <si>
    <t> 0.00101 </t>
  </si>
  <si>
    <t> Motl et al. </t>
  </si>
  <si>
    <t>2452886.461 </t>
  </si>
  <si>
    <t> 03.09.2003 23:03 </t>
  </si>
  <si>
    <t>632.5</t>
  </si>
  <si>
    <t> 0.032 </t>
  </si>
  <si>
    <t>2453258.5873 </t>
  </si>
  <si>
    <t> 10.09.2004 02:05 </t>
  </si>
  <si>
    <t>1242</t>
  </si>
  <si>
    <t> 0.0001 </t>
  </si>
  <si>
    <t>BAVM 173 </t>
  </si>
  <si>
    <t>2453655.4754 </t>
  </si>
  <si>
    <t> 11.10.2005 23:24 </t>
  </si>
  <si>
    <t>1892</t>
  </si>
  <si>
    <t> Agerer </t>
  </si>
  <si>
    <t>BAVM 178 </t>
  </si>
  <si>
    <t>2454027.3274 </t>
  </si>
  <si>
    <t> 18.10.2006 19:51 </t>
  </si>
  <si>
    <t>2501</t>
  </si>
  <si>
    <t> -0.0000 </t>
  </si>
  <si>
    <t>R</t>
  </si>
  <si>
    <t> M.Lehky </t>
  </si>
  <si>
    <t>OEJV 0107 </t>
  </si>
  <si>
    <t>2455082.4363 </t>
  </si>
  <si>
    <t> 07.09.2009 22:28 </t>
  </si>
  <si>
    <t>4229</t>
  </si>
  <si>
    <t> -0.0009 </t>
  </si>
  <si>
    <t> U.Schmidt </t>
  </si>
  <si>
    <t>BAVM 212 </t>
  </si>
  <si>
    <t>2455098.3113 </t>
  </si>
  <si>
    <t> 23.09.2009 19:28 </t>
  </si>
  <si>
    <t>4255</t>
  </si>
  <si>
    <t> -0.0014 </t>
  </si>
  <si>
    <t>2455362.6996 </t>
  </si>
  <si>
    <t> 15.06.2010 04:47 </t>
  </si>
  <si>
    <t>4688</t>
  </si>
  <si>
    <t> R.Diethelm </t>
  </si>
  <si>
    <t>IBVS 5945 </t>
  </si>
  <si>
    <t>2455728.44697 </t>
  </si>
  <si>
    <t> 15.06.2011 22:43 </t>
  </si>
  <si>
    <t>5287</t>
  </si>
  <si>
    <t> -0.00065 </t>
  </si>
  <si>
    <t> L.Šmelcer </t>
  </si>
  <si>
    <t>OEJV 0160 </t>
  </si>
  <si>
    <t>2455728.44737 </t>
  </si>
  <si>
    <t> 15.06.2011 22:44 </t>
  </si>
  <si>
    <t> -0.00025 </t>
  </si>
  <si>
    <t>2455836.5253 </t>
  </si>
  <si>
    <t> 02.10.2011 00:36 </t>
  </si>
  <si>
    <t>5464</t>
  </si>
  <si>
    <t> 0.0022 </t>
  </si>
  <si>
    <t>BAVM 228 </t>
  </si>
  <si>
    <t>2456169.29719 </t>
  </si>
  <si>
    <t> 29.08.2012 19:07 </t>
  </si>
  <si>
    <t>6009</t>
  </si>
  <si>
    <t> -0.00067 </t>
  </si>
  <si>
    <t>2456169.29769 </t>
  </si>
  <si>
    <t> 29.08.2012 19:08 </t>
  </si>
  <si>
    <t> -0.00017 </t>
  </si>
  <si>
    <t>2456181.50893 </t>
  </si>
  <si>
    <t> 11.09.2012 00:12 </t>
  </si>
  <si>
    <t>6029</t>
  </si>
  <si>
    <t> -0.00085 </t>
  </si>
  <si>
    <t>2456181.50913 </t>
  </si>
  <si>
    <t> 11.09.2012 00:13 </t>
  </si>
  <si>
    <t>2456520.39014 </t>
  </si>
  <si>
    <t> 15.08.2013 21:21 </t>
  </si>
  <si>
    <t>6584</t>
  </si>
  <si>
    <t> -0.00037 </t>
  </si>
  <si>
    <t>2456520.39018 </t>
  </si>
  <si>
    <t> -0.00033 </t>
  </si>
  <si>
    <t>IBVS 4819</t>
  </si>
  <si>
    <t>OEJV 0179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</si>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</sst>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/>
    <xf numFmtId="0" fontId="11" fillId="0" borderId="0" xfId="0" applyFont="1" applyAlignment="1"/>
    <xf numFmtId="0" fontId="5" fillId="0" borderId="9" xfId="0" applyFont="1" applyBorder="1" applyAlignment="1">
      <alignment horizontal="left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3" fillId="0" borderId="0" xfId="0" applyFont="1" applyAlignment="1"/>
    <xf numFmtId="0" fontId="0" fillId="0" borderId="0" xfId="0">
      <alignment vertical="top"/>
    </xf>
    <xf numFmtId="0" fontId="5" fillId="0" borderId="0" xfId="0" applyFont="1" applyAlignment="1">
      <alignment horizontal="left" vertical="center" wrapText="1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6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0" fillId="24" borderId="20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V2239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Active!$C$21:$C$1966</c:f>
                <c:numCache>
                  <c:formatCode>General</c:formatCode>
                  <c:ptCount val="1946"/>
                  <c:pt idx="0">
                    <c:v>51427.409399999997</c:v>
                  </c:pt>
                  <c:pt idx="1">
                    <c:v>51435.3488</c:v>
                  </c:pt>
                  <c:pt idx="2">
                    <c:v>51449.388599999998</c:v>
                  </c:pt>
                  <c:pt idx="3">
                    <c:v>51449.388700000003</c:v>
                  </c:pt>
                  <c:pt idx="4">
                    <c:v>51684.471660000003</c:v>
                  </c:pt>
                  <c:pt idx="5">
                    <c:v>51698.51412</c:v>
                  </c:pt>
                  <c:pt idx="6">
                    <c:v>51731.478999999999</c:v>
                  </c:pt>
                  <c:pt idx="7">
                    <c:v>51731.487999999998</c:v>
                  </c:pt>
                  <c:pt idx="8">
                    <c:v>51731.489399999999</c:v>
                  </c:pt>
                  <c:pt idx="9">
                    <c:v>51838.341379999998</c:v>
                  </c:pt>
                  <c:pt idx="10">
                    <c:v>52087.465680000001</c:v>
                  </c:pt>
                  <c:pt idx="11">
                    <c:v>52145.467799999999</c:v>
                  </c:pt>
                  <c:pt idx="12">
                    <c:v>52146.544999999998</c:v>
                  </c:pt>
                  <c:pt idx="13">
                    <c:v>52197.37098</c:v>
                  </c:pt>
                  <c:pt idx="14">
                    <c:v>52835.443099999997</c:v>
                  </c:pt>
                  <c:pt idx="15">
                    <c:v>52846.434399999998</c:v>
                  </c:pt>
                  <c:pt idx="16">
                    <c:v>52868.417300000001</c:v>
                  </c:pt>
                  <c:pt idx="17">
                    <c:v>52874.523399999998</c:v>
                  </c:pt>
                  <c:pt idx="18">
                    <c:v>52886.461000000003</c:v>
                  </c:pt>
                  <c:pt idx="19">
                    <c:v>53258.587299999999</c:v>
                  </c:pt>
                  <c:pt idx="20">
                    <c:v>53655.475400000003</c:v>
                  </c:pt>
                  <c:pt idx="21">
                    <c:v>53655.475400000003</c:v>
                  </c:pt>
                  <c:pt idx="22">
                    <c:v>54027.327409999998</c:v>
                  </c:pt>
                  <c:pt idx="23">
                    <c:v>55082.436300000001</c:v>
                  </c:pt>
                  <c:pt idx="24">
                    <c:v>55098.311300000001</c:v>
                  </c:pt>
                  <c:pt idx="25">
                    <c:v>55362.6996</c:v>
                  </c:pt>
                  <c:pt idx="26">
                    <c:v>55728.446969999997</c:v>
                  </c:pt>
                  <c:pt idx="27">
                    <c:v>55728.447370000002</c:v>
                  </c:pt>
                  <c:pt idx="28">
                    <c:v>55728.447370000002</c:v>
                  </c:pt>
                  <c:pt idx="29">
                    <c:v>55836.525300000001</c:v>
                  </c:pt>
                  <c:pt idx="30">
                    <c:v>56169.297189999997</c:v>
                  </c:pt>
                  <c:pt idx="31">
                    <c:v>56169.297689999999</c:v>
                  </c:pt>
                  <c:pt idx="32">
                    <c:v>56181.508930000004</c:v>
                  </c:pt>
                  <c:pt idx="33">
                    <c:v>56181.509129999999</c:v>
                  </c:pt>
                  <c:pt idx="34">
                    <c:v>56520.390140000003</c:v>
                  </c:pt>
                  <c:pt idx="35">
                    <c:v>56520.390180000002</c:v>
                  </c:pt>
                  <c:pt idx="36">
                    <c:v>57205.478159999999</c:v>
                  </c:pt>
                  <c:pt idx="37">
                    <c:v>57205.478949999997</c:v>
                  </c:pt>
                  <c:pt idx="38">
                    <c:v>59710.756699999998</c:v>
                  </c:pt>
                </c:numCache>
              </c:numRef>
            </c:plus>
            <c:minus>
              <c:numRef>
                <c:f>Active!$C$21:$C$1966</c:f>
                <c:numCache>
                  <c:formatCode>General</c:formatCode>
                  <c:ptCount val="1946"/>
                  <c:pt idx="0">
                    <c:v>51427.409399999997</c:v>
                  </c:pt>
                  <c:pt idx="1">
                    <c:v>51435.3488</c:v>
                  </c:pt>
                  <c:pt idx="2">
                    <c:v>51449.388599999998</c:v>
                  </c:pt>
                  <c:pt idx="3">
                    <c:v>51449.388700000003</c:v>
                  </c:pt>
                  <c:pt idx="4">
                    <c:v>51684.471660000003</c:v>
                  </c:pt>
                  <c:pt idx="5">
                    <c:v>51698.51412</c:v>
                  </c:pt>
                  <c:pt idx="6">
                    <c:v>51731.478999999999</c:v>
                  </c:pt>
                  <c:pt idx="7">
                    <c:v>51731.487999999998</c:v>
                  </c:pt>
                  <c:pt idx="8">
                    <c:v>51731.489399999999</c:v>
                  </c:pt>
                  <c:pt idx="9">
                    <c:v>51838.341379999998</c:v>
                  </c:pt>
                  <c:pt idx="10">
                    <c:v>52087.465680000001</c:v>
                  </c:pt>
                  <c:pt idx="11">
                    <c:v>52145.467799999999</c:v>
                  </c:pt>
                  <c:pt idx="12">
                    <c:v>52146.544999999998</c:v>
                  </c:pt>
                  <c:pt idx="13">
                    <c:v>52197.37098</c:v>
                  </c:pt>
                  <c:pt idx="14">
                    <c:v>52835.443099999997</c:v>
                  </c:pt>
                  <c:pt idx="15">
                    <c:v>52846.434399999998</c:v>
                  </c:pt>
                  <c:pt idx="16">
                    <c:v>52868.417300000001</c:v>
                  </c:pt>
                  <c:pt idx="17">
                    <c:v>52874.523399999998</c:v>
                  </c:pt>
                  <c:pt idx="18">
                    <c:v>52886.461000000003</c:v>
                  </c:pt>
                  <c:pt idx="19">
                    <c:v>53258.587299999999</c:v>
                  </c:pt>
                  <c:pt idx="20">
                    <c:v>53655.475400000003</c:v>
                  </c:pt>
                  <c:pt idx="21">
                    <c:v>53655.475400000003</c:v>
                  </c:pt>
                  <c:pt idx="22">
                    <c:v>54027.327409999998</c:v>
                  </c:pt>
                  <c:pt idx="23">
                    <c:v>55082.436300000001</c:v>
                  </c:pt>
                  <c:pt idx="24">
                    <c:v>55098.311300000001</c:v>
                  </c:pt>
                  <c:pt idx="25">
                    <c:v>55362.6996</c:v>
                  </c:pt>
                  <c:pt idx="26">
                    <c:v>55728.446969999997</c:v>
                  </c:pt>
                  <c:pt idx="27">
                    <c:v>55728.447370000002</c:v>
                  </c:pt>
                  <c:pt idx="28">
                    <c:v>55728.447370000002</c:v>
                  </c:pt>
                  <c:pt idx="29">
                    <c:v>55836.525300000001</c:v>
                  </c:pt>
                  <c:pt idx="30">
                    <c:v>56169.297189999997</c:v>
                  </c:pt>
                  <c:pt idx="31">
                    <c:v>56169.297689999999</c:v>
                  </c:pt>
                  <c:pt idx="32">
                    <c:v>56181.508930000004</c:v>
                  </c:pt>
                  <c:pt idx="33">
                    <c:v>56181.509129999999</c:v>
                  </c:pt>
                  <c:pt idx="34">
                    <c:v>56520.390140000003</c:v>
                  </c:pt>
                  <c:pt idx="35">
                    <c:v>56520.390180000002</c:v>
                  </c:pt>
                  <c:pt idx="36">
                    <c:v>57205.478159999999</c:v>
                  </c:pt>
                  <c:pt idx="37">
                    <c:v>57205.478949999997</c:v>
                  </c:pt>
                  <c:pt idx="38">
                    <c:v>59710.756699999998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13-4BE2-9238-25B5776C87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1.2999999999999999E-3</c:v>
                  </c:pt>
                  <c:pt idx="1">
                    <c:v>1.2999999999999999E-3</c:v>
                  </c:pt>
                  <c:pt idx="2">
                    <c:v>4.4999999999999997E-3</c:v>
                  </c:pt>
                  <c:pt idx="3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2.8999999999999998E-3</c:v>
                  </c:pt>
                  <c:pt idx="10">
                    <c:v>2.5999999999999999E-3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1E-3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6.0000000000000001E-3</c:v>
                  </c:pt>
                  <c:pt idx="20">
                    <c:v>2.2000000000000001E-3</c:v>
                  </c:pt>
                  <c:pt idx="21">
                    <c:v>2.2000000000000001E-3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1.9E-3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5.9999999999999995E-4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1.2999999999999999E-3</c:v>
                  </c:pt>
                  <c:pt idx="1">
                    <c:v>1.2999999999999999E-3</c:v>
                  </c:pt>
                  <c:pt idx="2">
                    <c:v>4.4999999999999997E-3</c:v>
                  </c:pt>
                  <c:pt idx="3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2.8999999999999998E-3</c:v>
                  </c:pt>
                  <c:pt idx="10">
                    <c:v>2.5999999999999999E-3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1E-3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6.0000000000000001E-3</c:v>
                  </c:pt>
                  <c:pt idx="20">
                    <c:v>2.2000000000000001E-3</c:v>
                  </c:pt>
                  <c:pt idx="21">
                    <c:v>2.2000000000000001E-3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1.9E-3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13-4BE2-9238-25B5776C87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1.2999999999999999E-3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4">
                  <c:v>-6.8000000028405339E-3</c:v>
                </c:pt>
                <c:pt idx="15">
                  <c:v>-6.300000000919681E-3</c:v>
                </c:pt>
                <c:pt idx="16">
                  <c:v>-5.0000000046566129E-3</c:v>
                </c:pt>
                <c:pt idx="19">
                  <c:v>-8.4000000060768798E-3</c:v>
                </c:pt>
                <c:pt idx="20">
                  <c:v>-1.0300000001734588E-2</c:v>
                </c:pt>
                <c:pt idx="21">
                  <c:v>-1.0300000001734588E-2</c:v>
                </c:pt>
                <c:pt idx="29">
                  <c:v>-2.3600000000442378E-2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13-4BE2-9238-25B5776C87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0">
                  <c:v>3.0999999944469891E-3</c:v>
                </c:pt>
                <c:pt idx="1">
                  <c:v>4.6999999976833351E-3</c:v>
                </c:pt>
                <c:pt idx="2">
                  <c:v>6.9999999686842784E-4</c:v>
                </c:pt>
                <c:pt idx="3">
                  <c:v>8.0000000161817297E-4</c:v>
                </c:pt>
                <c:pt idx="4">
                  <c:v>2.7600000030361116E-3</c:v>
                </c:pt>
                <c:pt idx="5">
                  <c:v>1.4200000005075708E-3</c:v>
                </c:pt>
                <c:pt idx="6">
                  <c:v>-6.100000005972106E-3</c:v>
                </c:pt>
                <c:pt idx="7">
                  <c:v>2.8999999922234565E-3</c:v>
                </c:pt>
                <c:pt idx="8">
                  <c:v>4.2999999932362698E-3</c:v>
                </c:pt>
                <c:pt idx="9">
                  <c:v>1.2799999967683107E-3</c:v>
                </c:pt>
                <c:pt idx="10">
                  <c:v>7.8000000212341547E-4</c:v>
                </c:pt>
                <c:pt idx="11">
                  <c:v>-4.1000000055646524E-3</c:v>
                </c:pt>
                <c:pt idx="12">
                  <c:v>0</c:v>
                </c:pt>
                <c:pt idx="13">
                  <c:v>-1.9200000024284236E-3</c:v>
                </c:pt>
                <c:pt idx="17">
                  <c:v>-4.9000000071828254E-3</c:v>
                </c:pt>
                <c:pt idx="18">
                  <c:v>0</c:v>
                </c:pt>
                <c:pt idx="22">
                  <c:v>-1.3690000007045455E-2</c:v>
                </c:pt>
                <c:pt idx="23">
                  <c:v>-2.1600000000034925E-2</c:v>
                </c:pt>
                <c:pt idx="24">
                  <c:v>-2.2199999999429565E-2</c:v>
                </c:pt>
                <c:pt idx="25">
                  <c:v>-2.3700000005192123E-2</c:v>
                </c:pt>
                <c:pt idx="26">
                  <c:v>-2.5730000008479692E-2</c:v>
                </c:pt>
                <c:pt idx="27">
                  <c:v>-2.5330000004032627E-2</c:v>
                </c:pt>
                <c:pt idx="28">
                  <c:v>-2.5330000004032627E-2</c:v>
                </c:pt>
                <c:pt idx="30">
                  <c:v>-2.8710000005958136E-2</c:v>
                </c:pt>
                <c:pt idx="31">
                  <c:v>-2.8210000004037283E-2</c:v>
                </c:pt>
                <c:pt idx="32">
                  <c:v>-2.8969999999389984E-2</c:v>
                </c:pt>
                <c:pt idx="33">
                  <c:v>-2.8770000004442409E-2</c:v>
                </c:pt>
                <c:pt idx="34">
                  <c:v>-3.0760000001464505E-2</c:v>
                </c:pt>
                <c:pt idx="35">
                  <c:v>-3.072000000247499E-2</c:v>
                </c:pt>
                <c:pt idx="36">
                  <c:v>-3.5940000001573935E-2</c:v>
                </c:pt>
                <c:pt idx="37">
                  <c:v>-3.515000000334112E-2</c:v>
                </c:pt>
                <c:pt idx="38">
                  <c:v>-4.9200000008568168E-2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13-4BE2-9238-25B5776C87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13-4BE2-9238-25B5776C87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13-4BE2-9238-25B5776C87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13-4BE2-9238-25B5776C87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3.0043850866359623E-3</c:v>
                </c:pt>
                <c:pt idx="1">
                  <c:v>2.9524134374693451E-3</c:v>
                </c:pt>
                <c:pt idx="2">
                  <c:v>2.8604635966360988E-3</c:v>
                </c:pt>
                <c:pt idx="3">
                  <c:v>2.8604635966360988E-3</c:v>
                </c:pt>
                <c:pt idx="4">
                  <c:v>1.3213032174708909E-3</c:v>
                </c:pt>
                <c:pt idx="5">
                  <c:v>1.2293533766376448E-3</c:v>
                </c:pt>
                <c:pt idx="6">
                  <c:v>1.0134711416378496E-3</c:v>
                </c:pt>
                <c:pt idx="7">
                  <c:v>1.0134711416378496E-3</c:v>
                </c:pt>
                <c:pt idx="8">
                  <c:v>1.0134711416378496E-3</c:v>
                </c:pt>
                <c:pt idx="9">
                  <c:v>3.1385278747184586E-4</c:v>
                </c:pt>
                <c:pt idx="10">
                  <c:v>-1.3172574325266079E-3</c:v>
                </c:pt>
                <c:pt idx="11">
                  <c:v>-1.697050253359581E-3</c:v>
                </c:pt>
                <c:pt idx="12">
                  <c:v>-1.7050458916929075E-3</c:v>
                </c:pt>
                <c:pt idx="13">
                  <c:v>-2.0368648825259258E-3</c:v>
                </c:pt>
                <c:pt idx="14">
                  <c:v>-6.2145859116886325E-3</c:v>
                </c:pt>
                <c:pt idx="15">
                  <c:v>-6.2865466566885651E-3</c:v>
                </c:pt>
                <c:pt idx="16">
                  <c:v>-6.4304681466884287E-3</c:v>
                </c:pt>
                <c:pt idx="17">
                  <c:v>-6.470446338355057E-3</c:v>
                </c:pt>
                <c:pt idx="18">
                  <c:v>-6.5484038121049835E-3</c:v>
                </c:pt>
                <c:pt idx="19">
                  <c:v>-8.9850745941860068E-3</c:v>
                </c:pt>
                <c:pt idx="20">
                  <c:v>-1.1583657052516877E-2</c:v>
                </c:pt>
                <c:pt idx="21">
                  <c:v>-1.1583657052516877E-2</c:v>
                </c:pt>
                <c:pt idx="22">
                  <c:v>-1.401832892501457E-2</c:v>
                </c:pt>
                <c:pt idx="23">
                  <c:v>-2.092656044500802E-2</c:v>
                </c:pt>
                <c:pt idx="24">
                  <c:v>-2.1030503743341256E-2</c:v>
                </c:pt>
                <c:pt idx="25">
                  <c:v>-2.2761559442506282E-2</c:v>
                </c:pt>
                <c:pt idx="26">
                  <c:v>-2.5156253123337344E-2</c:v>
                </c:pt>
                <c:pt idx="27">
                  <c:v>-2.5156253123337344E-2</c:v>
                </c:pt>
                <c:pt idx="28">
                  <c:v>-2.5156253123337344E-2</c:v>
                </c:pt>
                <c:pt idx="29">
                  <c:v>-2.5863867115836672E-2</c:v>
                </c:pt>
                <c:pt idx="30">
                  <c:v>-2.8042678561667943E-2</c:v>
                </c:pt>
                <c:pt idx="31">
                  <c:v>-2.8042678561667943E-2</c:v>
                </c:pt>
                <c:pt idx="32">
                  <c:v>-2.8122634945001203E-2</c:v>
                </c:pt>
                <c:pt idx="33">
                  <c:v>-2.8122634945001203E-2</c:v>
                </c:pt>
                <c:pt idx="34">
                  <c:v>-3.0341424582499096E-2</c:v>
                </c:pt>
                <c:pt idx="35">
                  <c:v>-3.0341424582499096E-2</c:v>
                </c:pt>
                <c:pt idx="36">
                  <c:v>-3.4826977687494848E-2</c:v>
                </c:pt>
                <c:pt idx="37">
                  <c:v>-3.4826977687494848E-2</c:v>
                </c:pt>
                <c:pt idx="38">
                  <c:v>-5.1230029728312636E-2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13-4BE2-9238-25B5776C87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Active!$U$21:$U$965</c:f>
              <c:numCache>
                <c:formatCode>General</c:formatCode>
                <c:ptCount val="945"/>
                <c:pt idx="12">
                  <c:v>-0.14810000000579748</c:v>
                </c:pt>
                <c:pt idx="18">
                  <c:v>2.599999999802094E-2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13-4BE2-9238-25B5776C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20264"/>
        <c:axId val="1"/>
      </c:scatterChart>
      <c:valAx>
        <c:axId val="79422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2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70453148122235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V2239 Cyg - O-C Diagr.</a:t>
            </a:r>
          </a:p>
        </c:rich>
      </c:tx>
      <c:layout>
        <c:manualLayout>
          <c:xMode val="edge"/>
          <c:yMode val="edge"/>
          <c:x val="0.35645161290322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Active!$C$21:$C$1966</c:f>
                <c:numCache>
                  <c:formatCode>General</c:formatCode>
                  <c:ptCount val="1946"/>
                  <c:pt idx="0">
                    <c:v>51427.409399999997</c:v>
                  </c:pt>
                  <c:pt idx="1">
                    <c:v>51435.3488</c:v>
                  </c:pt>
                  <c:pt idx="2">
                    <c:v>51449.388599999998</c:v>
                  </c:pt>
                  <c:pt idx="3">
                    <c:v>51449.388700000003</c:v>
                  </c:pt>
                  <c:pt idx="4">
                    <c:v>51684.471660000003</c:v>
                  </c:pt>
                  <c:pt idx="5">
                    <c:v>51698.51412</c:v>
                  </c:pt>
                  <c:pt idx="6">
                    <c:v>51731.478999999999</c:v>
                  </c:pt>
                  <c:pt idx="7">
                    <c:v>51731.487999999998</c:v>
                  </c:pt>
                  <c:pt idx="8">
                    <c:v>51731.489399999999</c:v>
                  </c:pt>
                  <c:pt idx="9">
                    <c:v>51838.341379999998</c:v>
                  </c:pt>
                  <c:pt idx="10">
                    <c:v>52087.465680000001</c:v>
                  </c:pt>
                  <c:pt idx="11">
                    <c:v>52145.467799999999</c:v>
                  </c:pt>
                  <c:pt idx="12">
                    <c:v>52146.544999999998</c:v>
                  </c:pt>
                  <c:pt idx="13">
                    <c:v>52197.37098</c:v>
                  </c:pt>
                  <c:pt idx="14">
                    <c:v>52835.443099999997</c:v>
                  </c:pt>
                  <c:pt idx="15">
                    <c:v>52846.434399999998</c:v>
                  </c:pt>
                  <c:pt idx="16">
                    <c:v>52868.417300000001</c:v>
                  </c:pt>
                  <c:pt idx="17">
                    <c:v>52874.523399999998</c:v>
                  </c:pt>
                  <c:pt idx="18">
                    <c:v>52886.461000000003</c:v>
                  </c:pt>
                  <c:pt idx="19">
                    <c:v>53258.587299999999</c:v>
                  </c:pt>
                  <c:pt idx="20">
                    <c:v>53655.475400000003</c:v>
                  </c:pt>
                  <c:pt idx="21">
                    <c:v>53655.475400000003</c:v>
                  </c:pt>
                  <c:pt idx="22">
                    <c:v>54027.327409999998</c:v>
                  </c:pt>
                  <c:pt idx="23">
                    <c:v>55082.436300000001</c:v>
                  </c:pt>
                  <c:pt idx="24">
                    <c:v>55098.311300000001</c:v>
                  </c:pt>
                  <c:pt idx="25">
                    <c:v>55362.6996</c:v>
                  </c:pt>
                  <c:pt idx="26">
                    <c:v>55728.446969999997</c:v>
                  </c:pt>
                  <c:pt idx="27">
                    <c:v>55728.447370000002</c:v>
                  </c:pt>
                  <c:pt idx="28">
                    <c:v>55728.447370000002</c:v>
                  </c:pt>
                  <c:pt idx="29">
                    <c:v>55836.525300000001</c:v>
                  </c:pt>
                  <c:pt idx="30">
                    <c:v>56169.297189999997</c:v>
                  </c:pt>
                  <c:pt idx="31">
                    <c:v>56169.297689999999</c:v>
                  </c:pt>
                  <c:pt idx="32">
                    <c:v>56181.508930000004</c:v>
                  </c:pt>
                  <c:pt idx="33">
                    <c:v>56181.509129999999</c:v>
                  </c:pt>
                  <c:pt idx="34">
                    <c:v>56520.390140000003</c:v>
                  </c:pt>
                  <c:pt idx="35">
                    <c:v>56520.390180000002</c:v>
                  </c:pt>
                  <c:pt idx="36">
                    <c:v>57205.478159999999</c:v>
                  </c:pt>
                  <c:pt idx="37">
                    <c:v>57205.478949999997</c:v>
                  </c:pt>
                  <c:pt idx="38">
                    <c:v>59710.756699999998</c:v>
                  </c:pt>
                </c:numCache>
              </c:numRef>
            </c:plus>
            <c:minus>
              <c:numRef>
                <c:f>Active!$C$21:$C$1966</c:f>
                <c:numCache>
                  <c:formatCode>General</c:formatCode>
                  <c:ptCount val="1946"/>
                  <c:pt idx="0">
                    <c:v>51427.409399999997</c:v>
                  </c:pt>
                  <c:pt idx="1">
                    <c:v>51435.3488</c:v>
                  </c:pt>
                  <c:pt idx="2">
                    <c:v>51449.388599999998</c:v>
                  </c:pt>
                  <c:pt idx="3">
                    <c:v>51449.388700000003</c:v>
                  </c:pt>
                  <c:pt idx="4">
                    <c:v>51684.471660000003</c:v>
                  </c:pt>
                  <c:pt idx="5">
                    <c:v>51698.51412</c:v>
                  </c:pt>
                  <c:pt idx="6">
                    <c:v>51731.478999999999</c:v>
                  </c:pt>
                  <c:pt idx="7">
                    <c:v>51731.487999999998</c:v>
                  </c:pt>
                  <c:pt idx="8">
                    <c:v>51731.489399999999</c:v>
                  </c:pt>
                  <c:pt idx="9">
                    <c:v>51838.341379999998</c:v>
                  </c:pt>
                  <c:pt idx="10">
                    <c:v>52087.465680000001</c:v>
                  </c:pt>
                  <c:pt idx="11">
                    <c:v>52145.467799999999</c:v>
                  </c:pt>
                  <c:pt idx="12">
                    <c:v>52146.544999999998</c:v>
                  </c:pt>
                  <c:pt idx="13">
                    <c:v>52197.37098</c:v>
                  </c:pt>
                  <c:pt idx="14">
                    <c:v>52835.443099999997</c:v>
                  </c:pt>
                  <c:pt idx="15">
                    <c:v>52846.434399999998</c:v>
                  </c:pt>
                  <c:pt idx="16">
                    <c:v>52868.417300000001</c:v>
                  </c:pt>
                  <c:pt idx="17">
                    <c:v>52874.523399999998</c:v>
                  </c:pt>
                  <c:pt idx="18">
                    <c:v>52886.461000000003</c:v>
                  </c:pt>
                  <c:pt idx="19">
                    <c:v>53258.587299999999</c:v>
                  </c:pt>
                  <c:pt idx="20">
                    <c:v>53655.475400000003</c:v>
                  </c:pt>
                  <c:pt idx="21">
                    <c:v>53655.475400000003</c:v>
                  </c:pt>
                  <c:pt idx="22">
                    <c:v>54027.327409999998</c:v>
                  </c:pt>
                  <c:pt idx="23">
                    <c:v>55082.436300000001</c:v>
                  </c:pt>
                  <c:pt idx="24">
                    <c:v>55098.311300000001</c:v>
                  </c:pt>
                  <c:pt idx="25">
                    <c:v>55362.6996</c:v>
                  </c:pt>
                  <c:pt idx="26">
                    <c:v>55728.446969999997</c:v>
                  </c:pt>
                  <c:pt idx="27">
                    <c:v>55728.447370000002</c:v>
                  </c:pt>
                  <c:pt idx="28">
                    <c:v>55728.447370000002</c:v>
                  </c:pt>
                  <c:pt idx="29">
                    <c:v>55836.525300000001</c:v>
                  </c:pt>
                  <c:pt idx="30">
                    <c:v>56169.297189999997</c:v>
                  </c:pt>
                  <c:pt idx="31">
                    <c:v>56169.297689999999</c:v>
                  </c:pt>
                  <c:pt idx="32">
                    <c:v>56181.508930000004</c:v>
                  </c:pt>
                  <c:pt idx="33">
                    <c:v>56181.509129999999</c:v>
                  </c:pt>
                  <c:pt idx="34">
                    <c:v>56520.390140000003</c:v>
                  </c:pt>
                  <c:pt idx="35">
                    <c:v>56520.390180000002</c:v>
                  </c:pt>
                  <c:pt idx="36">
                    <c:v>57205.478159999999</c:v>
                  </c:pt>
                  <c:pt idx="37">
                    <c:v>57205.478949999997</c:v>
                  </c:pt>
                  <c:pt idx="38">
                    <c:v>59710.756699999998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1-4651-A5CF-50302C77B4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1.2999999999999999E-3</c:v>
                  </c:pt>
                  <c:pt idx="1">
                    <c:v>1.2999999999999999E-3</c:v>
                  </c:pt>
                  <c:pt idx="2">
                    <c:v>4.4999999999999997E-3</c:v>
                  </c:pt>
                  <c:pt idx="3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2.8999999999999998E-3</c:v>
                  </c:pt>
                  <c:pt idx="10">
                    <c:v>2.5999999999999999E-3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1E-3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6.0000000000000001E-3</c:v>
                  </c:pt>
                  <c:pt idx="20">
                    <c:v>2.2000000000000001E-3</c:v>
                  </c:pt>
                  <c:pt idx="21">
                    <c:v>2.2000000000000001E-3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1.9E-3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5.9999999999999995E-4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1.2999999999999999E-3</c:v>
                  </c:pt>
                  <c:pt idx="1">
                    <c:v>1.2999999999999999E-3</c:v>
                  </c:pt>
                  <c:pt idx="2">
                    <c:v>4.4999999999999997E-3</c:v>
                  </c:pt>
                  <c:pt idx="3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2.8999999999999998E-3</c:v>
                  </c:pt>
                  <c:pt idx="10">
                    <c:v>2.5999999999999999E-3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1E-3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6.0000000000000001E-3</c:v>
                  </c:pt>
                  <c:pt idx="20">
                    <c:v>2.2000000000000001E-3</c:v>
                  </c:pt>
                  <c:pt idx="21">
                    <c:v>2.2000000000000001E-3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1.9E-3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1-4651-A5CF-50302C77B4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1.2999999999999999E-3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4">
                  <c:v>-6.8000000028405339E-3</c:v>
                </c:pt>
                <c:pt idx="15">
                  <c:v>-6.300000000919681E-3</c:v>
                </c:pt>
                <c:pt idx="16">
                  <c:v>-5.0000000046566129E-3</c:v>
                </c:pt>
                <c:pt idx="19">
                  <c:v>-8.4000000060768798E-3</c:v>
                </c:pt>
                <c:pt idx="20">
                  <c:v>-1.0300000001734588E-2</c:v>
                </c:pt>
                <c:pt idx="21">
                  <c:v>-1.0300000001734588E-2</c:v>
                </c:pt>
                <c:pt idx="29">
                  <c:v>-2.3600000000442378E-2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1-4651-A5CF-50302C77B4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0">
                  <c:v>3.0999999944469891E-3</c:v>
                </c:pt>
                <c:pt idx="1">
                  <c:v>4.6999999976833351E-3</c:v>
                </c:pt>
                <c:pt idx="2">
                  <c:v>6.9999999686842784E-4</c:v>
                </c:pt>
                <c:pt idx="3">
                  <c:v>8.0000000161817297E-4</c:v>
                </c:pt>
                <c:pt idx="4">
                  <c:v>2.7600000030361116E-3</c:v>
                </c:pt>
                <c:pt idx="5">
                  <c:v>1.4200000005075708E-3</c:v>
                </c:pt>
                <c:pt idx="6">
                  <c:v>-6.100000005972106E-3</c:v>
                </c:pt>
                <c:pt idx="7">
                  <c:v>2.8999999922234565E-3</c:v>
                </c:pt>
                <c:pt idx="8">
                  <c:v>4.2999999932362698E-3</c:v>
                </c:pt>
                <c:pt idx="9">
                  <c:v>1.2799999967683107E-3</c:v>
                </c:pt>
                <c:pt idx="10">
                  <c:v>7.8000000212341547E-4</c:v>
                </c:pt>
                <c:pt idx="11">
                  <c:v>-4.1000000055646524E-3</c:v>
                </c:pt>
                <c:pt idx="12">
                  <c:v>0</c:v>
                </c:pt>
                <c:pt idx="13">
                  <c:v>-1.9200000024284236E-3</c:v>
                </c:pt>
                <c:pt idx="17">
                  <c:v>-4.9000000071828254E-3</c:v>
                </c:pt>
                <c:pt idx="18">
                  <c:v>0</c:v>
                </c:pt>
                <c:pt idx="22">
                  <c:v>-1.3690000007045455E-2</c:v>
                </c:pt>
                <c:pt idx="23">
                  <c:v>-2.1600000000034925E-2</c:v>
                </c:pt>
                <c:pt idx="24">
                  <c:v>-2.2199999999429565E-2</c:v>
                </c:pt>
                <c:pt idx="25">
                  <c:v>-2.3700000005192123E-2</c:v>
                </c:pt>
                <c:pt idx="26">
                  <c:v>-2.5730000008479692E-2</c:v>
                </c:pt>
                <c:pt idx="27">
                  <c:v>-2.5330000004032627E-2</c:v>
                </c:pt>
                <c:pt idx="28">
                  <c:v>-2.5330000004032627E-2</c:v>
                </c:pt>
                <c:pt idx="30">
                  <c:v>-2.8710000005958136E-2</c:v>
                </c:pt>
                <c:pt idx="31">
                  <c:v>-2.8210000004037283E-2</c:v>
                </c:pt>
                <c:pt idx="32">
                  <c:v>-2.8969999999389984E-2</c:v>
                </c:pt>
                <c:pt idx="33">
                  <c:v>-2.8770000004442409E-2</c:v>
                </c:pt>
                <c:pt idx="34">
                  <c:v>-3.0760000001464505E-2</c:v>
                </c:pt>
                <c:pt idx="35">
                  <c:v>-3.072000000247499E-2</c:v>
                </c:pt>
                <c:pt idx="36">
                  <c:v>-3.5940000001573935E-2</c:v>
                </c:pt>
                <c:pt idx="37">
                  <c:v>-3.515000000334112E-2</c:v>
                </c:pt>
                <c:pt idx="38">
                  <c:v>-4.9200000008568168E-2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1-4651-A5CF-50302C77B4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1-4651-A5CF-50302C77B4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1-4651-A5CF-50302C77B4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1-4651-A5CF-50302C77B4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3.0043850866359623E-3</c:v>
                </c:pt>
                <c:pt idx="1">
                  <c:v>2.9524134374693451E-3</c:v>
                </c:pt>
                <c:pt idx="2">
                  <c:v>2.8604635966360988E-3</c:v>
                </c:pt>
                <c:pt idx="3">
                  <c:v>2.8604635966360988E-3</c:v>
                </c:pt>
                <c:pt idx="4">
                  <c:v>1.3213032174708909E-3</c:v>
                </c:pt>
                <c:pt idx="5">
                  <c:v>1.2293533766376448E-3</c:v>
                </c:pt>
                <c:pt idx="6">
                  <c:v>1.0134711416378496E-3</c:v>
                </c:pt>
                <c:pt idx="7">
                  <c:v>1.0134711416378496E-3</c:v>
                </c:pt>
                <c:pt idx="8">
                  <c:v>1.0134711416378496E-3</c:v>
                </c:pt>
                <c:pt idx="9">
                  <c:v>3.1385278747184586E-4</c:v>
                </c:pt>
                <c:pt idx="10">
                  <c:v>-1.3172574325266079E-3</c:v>
                </c:pt>
                <c:pt idx="11">
                  <c:v>-1.697050253359581E-3</c:v>
                </c:pt>
                <c:pt idx="12">
                  <c:v>-1.7050458916929075E-3</c:v>
                </c:pt>
                <c:pt idx="13">
                  <c:v>-2.0368648825259258E-3</c:v>
                </c:pt>
                <c:pt idx="14">
                  <c:v>-6.2145859116886325E-3</c:v>
                </c:pt>
                <c:pt idx="15">
                  <c:v>-6.2865466566885651E-3</c:v>
                </c:pt>
                <c:pt idx="16">
                  <c:v>-6.4304681466884287E-3</c:v>
                </c:pt>
                <c:pt idx="17">
                  <c:v>-6.470446338355057E-3</c:v>
                </c:pt>
                <c:pt idx="18">
                  <c:v>-6.5484038121049835E-3</c:v>
                </c:pt>
                <c:pt idx="19">
                  <c:v>-8.9850745941860068E-3</c:v>
                </c:pt>
                <c:pt idx="20">
                  <c:v>-1.1583657052516877E-2</c:v>
                </c:pt>
                <c:pt idx="21">
                  <c:v>-1.1583657052516877E-2</c:v>
                </c:pt>
                <c:pt idx="22">
                  <c:v>-1.401832892501457E-2</c:v>
                </c:pt>
                <c:pt idx="23">
                  <c:v>-2.092656044500802E-2</c:v>
                </c:pt>
                <c:pt idx="24">
                  <c:v>-2.1030503743341256E-2</c:v>
                </c:pt>
                <c:pt idx="25">
                  <c:v>-2.2761559442506282E-2</c:v>
                </c:pt>
                <c:pt idx="26">
                  <c:v>-2.5156253123337344E-2</c:v>
                </c:pt>
                <c:pt idx="27">
                  <c:v>-2.5156253123337344E-2</c:v>
                </c:pt>
                <c:pt idx="28">
                  <c:v>-2.5156253123337344E-2</c:v>
                </c:pt>
                <c:pt idx="29">
                  <c:v>-2.5863867115836672E-2</c:v>
                </c:pt>
                <c:pt idx="30">
                  <c:v>-2.8042678561667943E-2</c:v>
                </c:pt>
                <c:pt idx="31">
                  <c:v>-2.8042678561667943E-2</c:v>
                </c:pt>
                <c:pt idx="32">
                  <c:v>-2.8122634945001203E-2</c:v>
                </c:pt>
                <c:pt idx="33">
                  <c:v>-2.8122634945001203E-2</c:v>
                </c:pt>
                <c:pt idx="34">
                  <c:v>-3.0341424582499096E-2</c:v>
                </c:pt>
                <c:pt idx="35">
                  <c:v>-3.0341424582499096E-2</c:v>
                </c:pt>
                <c:pt idx="36">
                  <c:v>-3.4826977687494848E-2</c:v>
                </c:pt>
                <c:pt idx="37">
                  <c:v>-3.4826977687494848E-2</c:v>
                </c:pt>
                <c:pt idx="38">
                  <c:v>-5.1230029728312636E-2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1-4651-A5CF-50302C77B41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Active!$U$21:$U$965</c:f>
              <c:numCache>
                <c:formatCode>General</c:formatCode>
                <c:ptCount val="945"/>
                <c:pt idx="12">
                  <c:v>-0.14810000000579748</c:v>
                </c:pt>
                <c:pt idx="18">
                  <c:v>2.599999999802094E-2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D1-4651-A5CF-50302C77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20920"/>
        <c:axId val="1"/>
      </c:scatterChart>
      <c:valAx>
        <c:axId val="79422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20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4921861831491"/>
          <c:w val="0.775806451612903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B0ACD205-8985-3F2D-C4AB-214C9A369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0</xdr:rowOff>
    </xdr:from>
    <xdr:to>
      <xdr:col>25</xdr:col>
      <xdr:colOff>428625</xdr:colOff>
      <xdr:row>18</xdr:row>
      <xdr:rowOff>47625</xdr:rowOff>
    </xdr:to>
    <xdr:graphicFrame macro="">
      <xdr:nvGraphicFramePr>
        <xdr:cNvPr id="58373" name="Chart 3">
          <a:extLst>
            <a:ext uri="{FF2B5EF4-FFF2-40B4-BE49-F238E27FC236}">
              <a16:creationId xmlns:a16="http://schemas.microsoft.com/office/drawing/2014/main" id="{ACF8B96A-4AFE-9986-EAC2-CE7A6118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4819" TargetMode="External"/><Relationship Id="rId21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19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819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07.pdf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945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203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31</v>
      </c>
    </row>
    <row r="2" spans="1:18" x14ac:dyDescent="0.2">
      <c r="A2" t="s">
        <v>21</v>
      </c>
      <c r="B2" s="12" t="s">
        <v>32</v>
      </c>
    </row>
    <row r="3" spans="1:18" ht="13.5" thickBot="1" x14ac:dyDescent="0.25">
      <c r="C3" s="15"/>
    </row>
    <row r="4" spans="1:18" ht="13.5" thickBot="1" x14ac:dyDescent="0.25">
      <c r="A4" s="36" t="s">
        <v>30</v>
      </c>
      <c r="C4" s="13">
        <v>51427.406300000002</v>
      </c>
      <c r="D4" s="14">
        <v>0.61051</v>
      </c>
    </row>
    <row r="5" spans="1:18" x14ac:dyDescent="0.2">
      <c r="A5" s="18" t="s">
        <v>40</v>
      </c>
      <c r="B5" s="16"/>
      <c r="C5" s="19">
        <v>-9.5</v>
      </c>
      <c r="D5" s="16" t="s">
        <v>41</v>
      </c>
    </row>
    <row r="6" spans="1:18" x14ac:dyDescent="0.2">
      <c r="A6" s="4" t="s">
        <v>0</v>
      </c>
    </row>
    <row r="7" spans="1:18" x14ac:dyDescent="0.2">
      <c r="A7" t="s">
        <v>1</v>
      </c>
      <c r="C7">
        <f>+C4</f>
        <v>51427.406300000002</v>
      </c>
      <c r="D7" s="11" t="s">
        <v>51</v>
      </c>
    </row>
    <row r="8" spans="1:18" x14ac:dyDescent="0.2">
      <c r="A8" t="s">
        <v>2</v>
      </c>
      <c r="C8">
        <v>0.61060000000000003</v>
      </c>
      <c r="D8" s="11" t="s">
        <v>37</v>
      </c>
    </row>
    <row r="9" spans="1:18" x14ac:dyDescent="0.2">
      <c r="A9" s="32" t="s">
        <v>46</v>
      </c>
      <c r="B9" s="33">
        <v>21</v>
      </c>
      <c r="C9" s="22" t="str">
        <f>"F"&amp;B9</f>
        <v>F21</v>
      </c>
      <c r="D9" s="10" t="str">
        <f>"G"&amp;B9</f>
        <v>G21</v>
      </c>
    </row>
    <row r="10" spans="1:18" ht="13.5" thickBot="1" x14ac:dyDescent="0.25">
      <c r="A10" s="16"/>
      <c r="B10" s="16"/>
      <c r="C10" s="3" t="s">
        <v>17</v>
      </c>
      <c r="D10" s="3" t="s">
        <v>18</v>
      </c>
      <c r="E10" s="16"/>
    </row>
    <row r="11" spans="1:18" x14ac:dyDescent="0.2">
      <c r="A11" s="16" t="s">
        <v>13</v>
      </c>
      <c r="B11" s="16"/>
      <c r="C11" s="20">
        <f ca="1">INTERCEPT(INDIRECT($D$9):G990,INDIRECT($C$9):F990)</f>
        <v>3.0043850866359623E-3</v>
      </c>
      <c r="D11" s="21"/>
      <c r="E11" s="16"/>
    </row>
    <row r="12" spans="1:18" x14ac:dyDescent="0.2">
      <c r="A12" s="16" t="s">
        <v>14</v>
      </c>
      <c r="B12" s="16"/>
      <c r="C12" s="20">
        <f ca="1">SLOPE(INDIRECT($D$9):G990,INDIRECT($C$9):F990)</f>
        <v>-3.9978191666628773E-6</v>
      </c>
      <c r="D12" s="21"/>
      <c r="E12" s="16"/>
    </row>
    <row r="13" spans="1:18" x14ac:dyDescent="0.2">
      <c r="A13" s="16" t="s">
        <v>16</v>
      </c>
      <c r="B13" s="16"/>
      <c r="C13" s="21" t="s">
        <v>42</v>
      </c>
    </row>
    <row r="14" spans="1:18" x14ac:dyDescent="0.2">
      <c r="A14" s="16"/>
      <c r="B14" s="16"/>
      <c r="C14" s="16"/>
    </row>
    <row r="15" spans="1:18" x14ac:dyDescent="0.2">
      <c r="A15" s="23" t="s">
        <v>15</v>
      </c>
      <c r="B15" s="16"/>
      <c r="C15" s="24">
        <f ca="1">(C7+C11)+(C8+C12)*INT(MAX(F21:F3531))</f>
        <v>59710.754669970273</v>
      </c>
      <c r="E15" s="21"/>
      <c r="F15" s="16"/>
      <c r="Q15" t="s">
        <v>34</v>
      </c>
      <c r="R15">
        <f ca="1">SUM(R21:R30)</f>
        <v>7.997768395873158E-5</v>
      </c>
    </row>
    <row r="16" spans="1:18" x14ac:dyDescent="0.2">
      <c r="A16" s="27" t="s">
        <v>3</v>
      </c>
      <c r="B16" s="16"/>
      <c r="C16" s="28">
        <f ca="1">+C8+C12</f>
        <v>0.61059600218083332</v>
      </c>
      <c r="E16" s="16"/>
      <c r="F16" s="16"/>
      <c r="Q16" t="s">
        <v>35</v>
      </c>
      <c r="R16">
        <f ca="1">COUNT(R21:R30)</f>
        <v>10</v>
      </c>
    </row>
    <row r="17" spans="1:21" ht="13.5" thickBot="1" x14ac:dyDescent="0.25">
      <c r="A17" s="25" t="s">
        <v>38</v>
      </c>
      <c r="B17" s="16"/>
      <c r="C17" s="16">
        <f>COUNT(C21:C2189)</f>
        <v>39</v>
      </c>
      <c r="E17" s="25" t="s">
        <v>43</v>
      </c>
      <c r="F17" s="26">
        <f ca="1">TODAY()+15018.5-B5/24</f>
        <v>59957.5</v>
      </c>
      <c r="Q17" t="s">
        <v>36</v>
      </c>
      <c r="R17">
        <f ca="1">SQRT(R15/(R16-1))</f>
        <v>2.9810081061191285E-3</v>
      </c>
    </row>
    <row r="18" spans="1:21" ht="14.25" thickTop="1" thickBot="1" x14ac:dyDescent="0.25">
      <c r="A18" s="27" t="s">
        <v>4</v>
      </c>
      <c r="B18" s="16"/>
      <c r="C18" s="30">
        <f ca="1">+C15</f>
        <v>59710.754669970273</v>
      </c>
      <c r="D18" s="31">
        <f ca="1">+C16</f>
        <v>0.61059600218083332</v>
      </c>
      <c r="E18" s="25" t="s">
        <v>44</v>
      </c>
      <c r="F18" s="26">
        <f ca="1">ROUND(2*(F17-C15)/C16,0)/2+1</f>
        <v>405</v>
      </c>
    </row>
    <row r="19" spans="1:21" ht="13.5" thickTop="1" x14ac:dyDescent="0.2">
      <c r="E19" s="25" t="s">
        <v>45</v>
      </c>
      <c r="F19" s="29">
        <f ca="1">+C15+C16*F18-15018.5-C5/24</f>
        <v>44939.941884186846</v>
      </c>
    </row>
    <row r="20" spans="1:21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64</v>
      </c>
      <c r="I20" s="6" t="s">
        <v>48</v>
      </c>
      <c r="J20" s="6" t="s">
        <v>61</v>
      </c>
      <c r="K20" s="6" t="s">
        <v>59</v>
      </c>
      <c r="L20" s="6" t="s">
        <v>22</v>
      </c>
      <c r="M20" s="6" t="s">
        <v>23</v>
      </c>
      <c r="N20" s="6" t="s">
        <v>25</v>
      </c>
      <c r="O20" s="6" t="s">
        <v>20</v>
      </c>
      <c r="P20" s="5" t="s">
        <v>19</v>
      </c>
      <c r="Q20" s="3" t="s">
        <v>12</v>
      </c>
      <c r="U20" s="48" t="s">
        <v>56</v>
      </c>
    </row>
    <row r="21" spans="1:21" x14ac:dyDescent="0.2">
      <c r="A21" s="7" t="s">
        <v>26</v>
      </c>
      <c r="B21" s="8" t="s">
        <v>24</v>
      </c>
      <c r="C21" s="9">
        <v>51427.409399999997</v>
      </c>
      <c r="D21" s="9">
        <v>1.2999999999999999E-3</v>
      </c>
      <c r="E21">
        <f t="shared" ref="E21:E43" si="0">+(C21-C$7)/C$8</f>
        <v>5.0769734596249408E-3</v>
      </c>
      <c r="F21">
        <f t="shared" ref="F21:F43" si="1">ROUND(2*E21,0)/2</f>
        <v>0</v>
      </c>
      <c r="G21">
        <f t="shared" ref="G21:G32" si="2">+C21-(C$7+F21*C$8)</f>
        <v>3.0999999944469891E-3</v>
      </c>
      <c r="K21">
        <f t="shared" ref="K21:K34" si="3">+G21</f>
        <v>3.0999999944469891E-3</v>
      </c>
      <c r="O21">
        <f t="shared" ref="O21:O43" ca="1" si="4">+C$11+C$12*$F21</f>
        <v>3.0043850866359623E-3</v>
      </c>
      <c r="Q21" s="2">
        <f t="shared" ref="Q21:Q43" si="5">+C21-15018.5</f>
        <v>36408.909399999997</v>
      </c>
      <c r="R21">
        <f t="shared" ref="R21:R43" ca="1" si="6">+(O21-G21)^2</f>
        <v>9.1422105957111572E-9</v>
      </c>
    </row>
    <row r="22" spans="1:21" x14ac:dyDescent="0.2">
      <c r="A22" s="7" t="s">
        <v>26</v>
      </c>
      <c r="B22" s="37" t="s">
        <v>24</v>
      </c>
      <c r="C22" s="17">
        <v>51435.3488</v>
      </c>
      <c r="D22" s="17">
        <v>1.2999999999999999E-3</v>
      </c>
      <c r="E22">
        <f t="shared" si="0"/>
        <v>13.007697346867639</v>
      </c>
      <c r="F22">
        <f t="shared" si="1"/>
        <v>13</v>
      </c>
      <c r="G22">
        <f t="shared" si="2"/>
        <v>4.6999999976833351E-3</v>
      </c>
      <c r="K22">
        <f t="shared" si="3"/>
        <v>4.6999999976833351E-3</v>
      </c>
      <c r="O22">
        <f t="shared" ca="1" si="4"/>
        <v>2.9524134374693451E-3</v>
      </c>
      <c r="Q22" s="2">
        <f t="shared" si="5"/>
        <v>36416.8488</v>
      </c>
      <c r="R22">
        <f t="shared" ca="1" si="6"/>
        <v>3.0540587854405656E-6</v>
      </c>
    </row>
    <row r="23" spans="1:21" x14ac:dyDescent="0.2">
      <c r="A23" s="7" t="s">
        <v>26</v>
      </c>
      <c r="B23" s="37" t="s">
        <v>24</v>
      </c>
      <c r="C23" s="17">
        <v>51449.388599999998</v>
      </c>
      <c r="D23" s="17">
        <v>4.4999999999999997E-3</v>
      </c>
      <c r="E23">
        <f t="shared" si="0"/>
        <v>36.001146413357404</v>
      </c>
      <c r="F23">
        <f t="shared" si="1"/>
        <v>36</v>
      </c>
      <c r="G23">
        <f t="shared" si="2"/>
        <v>6.9999999686842784E-4</v>
      </c>
      <c r="K23">
        <f t="shared" si="3"/>
        <v>6.9999999686842784E-4</v>
      </c>
      <c r="O23">
        <f t="shared" ca="1" si="4"/>
        <v>2.8604635966360988E-3</v>
      </c>
      <c r="Q23" s="2">
        <f t="shared" si="5"/>
        <v>36430.888599999998</v>
      </c>
      <c r="R23">
        <f t="shared" ca="1" si="6"/>
        <v>4.6676029659210827E-6</v>
      </c>
    </row>
    <row r="24" spans="1:21" x14ac:dyDescent="0.2">
      <c r="A24" s="63" t="s">
        <v>210</v>
      </c>
      <c r="B24" s="64" t="s">
        <v>24</v>
      </c>
      <c r="C24" s="65">
        <v>51449.388700000003</v>
      </c>
      <c r="D24" s="65" t="s">
        <v>48</v>
      </c>
      <c r="E24">
        <f t="shared" si="0"/>
        <v>36.001310186702881</v>
      </c>
      <c r="F24">
        <f t="shared" si="1"/>
        <v>36</v>
      </c>
      <c r="G24">
        <f t="shared" si="2"/>
        <v>8.0000000161817297E-4</v>
      </c>
      <c r="K24">
        <f t="shared" si="3"/>
        <v>8.0000000161817297E-4</v>
      </c>
      <c r="O24">
        <f t="shared" ca="1" si="4"/>
        <v>2.8604635966360988E-3</v>
      </c>
      <c r="Q24" s="2">
        <f t="shared" si="5"/>
        <v>36430.888700000003</v>
      </c>
      <c r="R24">
        <f t="shared" ca="1" si="6"/>
        <v>4.2455102263941946E-6</v>
      </c>
    </row>
    <row r="25" spans="1:21" x14ac:dyDescent="0.2">
      <c r="A25" s="38" t="s">
        <v>47</v>
      </c>
      <c r="B25" s="39" t="s">
        <v>24</v>
      </c>
      <c r="C25" s="38">
        <v>51684.471660000003</v>
      </c>
      <c r="D25" s="38">
        <v>1.2999999999999999E-3</v>
      </c>
      <c r="E25">
        <f t="shared" si="0"/>
        <v>421.00452014412133</v>
      </c>
      <c r="F25">
        <f t="shared" si="1"/>
        <v>421</v>
      </c>
      <c r="G25">
        <f t="shared" si="2"/>
        <v>2.7600000030361116E-3</v>
      </c>
      <c r="K25">
        <f t="shared" si="3"/>
        <v>2.7600000030361116E-3</v>
      </c>
      <c r="O25">
        <f t="shared" ca="1" si="4"/>
        <v>1.3213032174708909E-3</v>
      </c>
      <c r="Q25" s="2">
        <f t="shared" si="5"/>
        <v>36665.971660000003</v>
      </c>
      <c r="R25">
        <f t="shared" ca="1" si="6"/>
        <v>2.0698484407956985E-6</v>
      </c>
    </row>
    <row r="26" spans="1:21" x14ac:dyDescent="0.2">
      <c r="A26" s="38" t="s">
        <v>47</v>
      </c>
      <c r="B26" s="39" t="s">
        <v>24</v>
      </c>
      <c r="C26" s="38">
        <v>51698.51412</v>
      </c>
      <c r="D26" s="38">
        <v>1.8E-3</v>
      </c>
      <c r="E26">
        <f t="shared" si="0"/>
        <v>444.00232558139112</v>
      </c>
      <c r="F26">
        <f t="shared" si="1"/>
        <v>444</v>
      </c>
      <c r="G26">
        <f t="shared" si="2"/>
        <v>1.4200000005075708E-3</v>
      </c>
      <c r="K26">
        <f t="shared" si="3"/>
        <v>1.4200000005075708E-3</v>
      </c>
      <c r="O26">
        <f t="shared" ca="1" si="4"/>
        <v>1.2293533766376448E-3</v>
      </c>
      <c r="Q26" s="2">
        <f t="shared" si="5"/>
        <v>36680.01412</v>
      </c>
      <c r="R26">
        <f t="shared" ca="1" si="6"/>
        <v>3.634613519300105E-8</v>
      </c>
    </row>
    <row r="27" spans="1:21" x14ac:dyDescent="0.2">
      <c r="A27" s="38" t="s">
        <v>47</v>
      </c>
      <c r="B27" s="39" t="s">
        <v>24</v>
      </c>
      <c r="C27" s="38">
        <v>51731.478999999999</v>
      </c>
      <c r="D27" s="38" t="s">
        <v>48</v>
      </c>
      <c r="E27">
        <f t="shared" si="0"/>
        <v>497.99000982639529</v>
      </c>
      <c r="F27">
        <f t="shared" si="1"/>
        <v>498</v>
      </c>
      <c r="G27">
        <f t="shared" si="2"/>
        <v>-6.100000005972106E-3</v>
      </c>
      <c r="K27">
        <f t="shared" si="3"/>
        <v>-6.100000005972106E-3</v>
      </c>
      <c r="O27">
        <f t="shared" ca="1" si="4"/>
        <v>1.0134711416378496E-3</v>
      </c>
      <c r="Q27" s="2">
        <f t="shared" si="5"/>
        <v>36712.978999999999</v>
      </c>
      <c r="R27">
        <f t="shared" ca="1" si="6"/>
        <v>5.0601471767879291E-5</v>
      </c>
    </row>
    <row r="28" spans="1:21" x14ac:dyDescent="0.2">
      <c r="A28" s="38" t="s">
        <v>47</v>
      </c>
      <c r="B28" s="39" t="s">
        <v>24</v>
      </c>
      <c r="C28" s="38">
        <v>51731.487999999998</v>
      </c>
      <c r="D28" s="38" t="s">
        <v>48</v>
      </c>
      <c r="E28">
        <f t="shared" si="0"/>
        <v>498.00474942678539</v>
      </c>
      <c r="F28">
        <f t="shared" si="1"/>
        <v>498</v>
      </c>
      <c r="G28">
        <f t="shared" si="2"/>
        <v>2.8999999922234565E-3</v>
      </c>
      <c r="K28">
        <f t="shared" si="3"/>
        <v>2.8999999922234565E-3</v>
      </c>
      <c r="O28">
        <f t="shared" ca="1" si="4"/>
        <v>1.0134711416378496E-3</v>
      </c>
      <c r="Q28" s="2">
        <f t="shared" si="5"/>
        <v>36712.987999999998</v>
      </c>
      <c r="R28">
        <f t="shared" ca="1" si="6"/>
        <v>3.558991104091851E-6</v>
      </c>
    </row>
    <row r="29" spans="1:21" x14ac:dyDescent="0.2">
      <c r="A29" s="38" t="s">
        <v>47</v>
      </c>
      <c r="B29" s="39" t="s">
        <v>24</v>
      </c>
      <c r="C29" s="38">
        <v>51731.489399999999</v>
      </c>
      <c r="D29" s="38" t="s">
        <v>48</v>
      </c>
      <c r="E29">
        <f t="shared" si="0"/>
        <v>498.00704225351484</v>
      </c>
      <c r="F29">
        <f t="shared" si="1"/>
        <v>498</v>
      </c>
      <c r="G29">
        <f t="shared" si="2"/>
        <v>4.2999999932362698E-3</v>
      </c>
      <c r="K29">
        <f t="shared" si="3"/>
        <v>4.2999999932362698E-3</v>
      </c>
      <c r="O29">
        <f t="shared" ca="1" si="4"/>
        <v>1.0134711416378496E-3</v>
      </c>
      <c r="Q29" s="2">
        <f t="shared" si="5"/>
        <v>36712.989399999999</v>
      </c>
      <c r="R29">
        <f t="shared" ca="1" si="6"/>
        <v>1.0801271892388831E-5</v>
      </c>
    </row>
    <row r="30" spans="1:21" x14ac:dyDescent="0.2">
      <c r="A30" s="38" t="s">
        <v>47</v>
      </c>
      <c r="B30" s="39" t="s">
        <v>24</v>
      </c>
      <c r="C30" s="38">
        <v>51838.341379999998</v>
      </c>
      <c r="D30" s="38">
        <v>2.8999999999999998E-3</v>
      </c>
      <c r="E30">
        <f t="shared" si="0"/>
        <v>673.0020962987154</v>
      </c>
      <c r="F30">
        <f t="shared" si="1"/>
        <v>673</v>
      </c>
      <c r="G30">
        <f t="shared" si="2"/>
        <v>1.2799999967683107E-3</v>
      </c>
      <c r="K30">
        <f t="shared" si="3"/>
        <v>1.2799999967683107E-3</v>
      </c>
      <c r="O30">
        <f t="shared" ca="1" si="4"/>
        <v>3.1385278747184586E-4</v>
      </c>
      <c r="Q30" s="2">
        <f t="shared" si="5"/>
        <v>36819.841379999998</v>
      </c>
      <c r="R30">
        <f t="shared" ca="1" si="6"/>
        <v>9.3344043003134694E-7</v>
      </c>
    </row>
    <row r="31" spans="1:21" x14ac:dyDescent="0.2">
      <c r="A31" s="38" t="s">
        <v>47</v>
      </c>
      <c r="B31" s="39" t="s">
        <v>24</v>
      </c>
      <c r="C31" s="38">
        <v>52087.465680000001</v>
      </c>
      <c r="D31" s="38">
        <v>2.5999999999999999E-3</v>
      </c>
      <c r="E31">
        <f t="shared" si="0"/>
        <v>1081.0012774320321</v>
      </c>
      <c r="F31">
        <f t="shared" si="1"/>
        <v>1081</v>
      </c>
      <c r="G31">
        <f t="shared" si="2"/>
        <v>7.8000000212341547E-4</v>
      </c>
      <c r="K31">
        <f t="shared" si="3"/>
        <v>7.8000000212341547E-4</v>
      </c>
      <c r="O31">
        <f t="shared" ca="1" si="4"/>
        <v>-1.3172574325266079E-3</v>
      </c>
      <c r="Q31" s="2">
        <f t="shared" si="5"/>
        <v>37068.965680000001</v>
      </c>
      <c r="R31">
        <f t="shared" ca="1" si="6"/>
        <v>4.3984887471947967E-6</v>
      </c>
    </row>
    <row r="32" spans="1:21" x14ac:dyDescent="0.2">
      <c r="A32" s="17" t="s">
        <v>27</v>
      </c>
      <c r="B32" s="37" t="s">
        <v>24</v>
      </c>
      <c r="C32" s="17">
        <v>52145.467799999999</v>
      </c>
      <c r="D32" s="40">
        <v>2.3999999999999998E-3</v>
      </c>
      <c r="E32">
        <f t="shared" si="0"/>
        <v>1175.9932852931479</v>
      </c>
      <c r="F32">
        <f t="shared" si="1"/>
        <v>1176</v>
      </c>
      <c r="G32">
        <f t="shared" si="2"/>
        <v>-4.1000000055646524E-3</v>
      </c>
      <c r="K32">
        <f t="shared" si="3"/>
        <v>-4.1000000055646524E-3</v>
      </c>
      <c r="O32">
        <f t="shared" ca="1" si="4"/>
        <v>-1.697050253359581E-3</v>
      </c>
      <c r="Q32" s="2">
        <f t="shared" si="5"/>
        <v>37126.967799999999</v>
      </c>
      <c r="R32">
        <f t="shared" ca="1" si="6"/>
        <v>5.7741675116224143E-6</v>
      </c>
    </row>
    <row r="33" spans="1:21" x14ac:dyDescent="0.2">
      <c r="A33" s="7" t="s">
        <v>28</v>
      </c>
      <c r="B33" s="41" t="s">
        <v>24</v>
      </c>
      <c r="C33" s="7">
        <v>52146.544999999998</v>
      </c>
      <c r="D33" s="42">
        <v>4.0000000000000001E-3</v>
      </c>
      <c r="E33">
        <f t="shared" si="0"/>
        <v>1177.7574516868585</v>
      </c>
      <c r="F33">
        <f t="shared" si="1"/>
        <v>1178</v>
      </c>
      <c r="K33">
        <f t="shared" si="3"/>
        <v>0</v>
      </c>
      <c r="O33">
        <f t="shared" ca="1" si="4"/>
        <v>-1.7050458916929075E-3</v>
      </c>
      <c r="Q33" s="2">
        <f t="shared" si="5"/>
        <v>37128.044999999998</v>
      </c>
      <c r="R33">
        <f t="shared" ca="1" si="6"/>
        <v>2.9071814927788621E-6</v>
      </c>
      <c r="U33" s="10">
        <v>-0.14810000000579748</v>
      </c>
    </row>
    <row r="34" spans="1:21" x14ac:dyDescent="0.2">
      <c r="A34" s="38" t="s">
        <v>47</v>
      </c>
      <c r="B34" s="39" t="s">
        <v>24</v>
      </c>
      <c r="C34" s="38">
        <v>52197.37098</v>
      </c>
      <c r="D34" s="38">
        <v>2.5999999999999999E-3</v>
      </c>
      <c r="E34">
        <f t="shared" si="0"/>
        <v>1260.9968555519117</v>
      </c>
      <c r="F34">
        <f t="shared" si="1"/>
        <v>1261</v>
      </c>
      <c r="G34">
        <f>+C34-(C$7+F34*C$8)</f>
        <v>-1.9200000024284236E-3</v>
      </c>
      <c r="K34">
        <f t="shared" si="3"/>
        <v>-1.9200000024284236E-3</v>
      </c>
      <c r="O34">
        <f t="shared" ca="1" si="4"/>
        <v>-2.0368648825259258E-3</v>
      </c>
      <c r="Q34" s="2">
        <f t="shared" si="5"/>
        <v>37178.87098</v>
      </c>
      <c r="R34">
        <f t="shared" ca="1" si="6"/>
        <v>1.3657400200203565E-8</v>
      </c>
    </row>
    <row r="35" spans="1:21" x14ac:dyDescent="0.2">
      <c r="A35" s="43" t="s">
        <v>29</v>
      </c>
      <c r="B35" s="44"/>
      <c r="C35" s="45">
        <v>52835.443099999997</v>
      </c>
      <c r="D35" s="45">
        <v>1.4E-3</v>
      </c>
      <c r="E35">
        <f t="shared" si="0"/>
        <v>2305.988863413027</v>
      </c>
      <c r="F35">
        <f t="shared" si="1"/>
        <v>2306</v>
      </c>
      <c r="G35">
        <f>+C35-(C$7+F35*C$8)</f>
        <v>-6.8000000028405339E-3</v>
      </c>
      <c r="J35">
        <f>+G35</f>
        <v>-6.8000000028405339E-3</v>
      </c>
      <c r="O35">
        <f t="shared" ca="1" si="4"/>
        <v>-6.2145859116886325E-3</v>
      </c>
      <c r="Q35" s="2">
        <f t="shared" si="5"/>
        <v>37816.943099999997</v>
      </c>
      <c r="R35">
        <f t="shared" ca="1" si="6"/>
        <v>3.4270965811920671E-7</v>
      </c>
    </row>
    <row r="36" spans="1:21" x14ac:dyDescent="0.2">
      <c r="A36" s="43" t="s">
        <v>29</v>
      </c>
      <c r="B36" s="44"/>
      <c r="C36" s="45">
        <v>52846.434399999998</v>
      </c>
      <c r="D36" s="45">
        <v>2.9999999999999997E-4</v>
      </c>
      <c r="E36">
        <f t="shared" si="0"/>
        <v>2323.9896822797182</v>
      </c>
      <c r="F36">
        <f t="shared" si="1"/>
        <v>2324</v>
      </c>
      <c r="G36">
        <f>+C36-(C$7+F36*C$8)</f>
        <v>-6.300000000919681E-3</v>
      </c>
      <c r="J36">
        <f>+G36</f>
        <v>-6.300000000919681E-3</v>
      </c>
      <c r="O36">
        <f t="shared" ca="1" si="4"/>
        <v>-6.2865466566885651E-3</v>
      </c>
      <c r="Q36" s="2">
        <f t="shared" si="5"/>
        <v>37827.934399999998</v>
      </c>
      <c r="R36">
        <f t="shared" ca="1" si="6"/>
        <v>1.8099247100089974E-10</v>
      </c>
    </row>
    <row r="37" spans="1:21" x14ac:dyDescent="0.2">
      <c r="A37" s="43" t="s">
        <v>29</v>
      </c>
      <c r="B37" s="44"/>
      <c r="C37" s="45">
        <v>52868.417300000001</v>
      </c>
      <c r="D37" s="45">
        <v>1E-3</v>
      </c>
      <c r="E37">
        <f t="shared" si="0"/>
        <v>2359.9918113331128</v>
      </c>
      <c r="F37">
        <f t="shared" si="1"/>
        <v>2360</v>
      </c>
      <c r="G37">
        <f>+C37-(C$7+F37*C$8)</f>
        <v>-5.0000000046566129E-3</v>
      </c>
      <c r="J37">
        <f>+G37</f>
        <v>-5.0000000046566129E-3</v>
      </c>
      <c r="O37">
        <f t="shared" ca="1" si="4"/>
        <v>-6.4304681466884287E-3</v>
      </c>
      <c r="Q37" s="2">
        <f t="shared" si="5"/>
        <v>37849.917300000001</v>
      </c>
      <c r="R37">
        <f t="shared" ca="1" si="6"/>
        <v>2.0462391053679552E-6</v>
      </c>
    </row>
    <row r="38" spans="1:21" x14ac:dyDescent="0.2">
      <c r="A38" s="38" t="s">
        <v>47</v>
      </c>
      <c r="B38" s="39" t="s">
        <v>24</v>
      </c>
      <c r="C38" s="38">
        <v>52874.523399999998</v>
      </c>
      <c r="D38" s="38" t="s">
        <v>49</v>
      </c>
      <c r="E38">
        <f t="shared" si="0"/>
        <v>2369.9919751064458</v>
      </c>
      <c r="F38">
        <f t="shared" si="1"/>
        <v>2370</v>
      </c>
      <c r="G38">
        <f>+C38-(C$7+F38*C$8)</f>
        <v>-4.9000000071828254E-3</v>
      </c>
      <c r="K38">
        <f>+G38</f>
        <v>-4.9000000071828254E-3</v>
      </c>
      <c r="O38">
        <f t="shared" ca="1" si="4"/>
        <v>-6.470446338355057E-3</v>
      </c>
      <c r="Q38" s="2">
        <f t="shared" si="5"/>
        <v>37856.023399999998</v>
      </c>
      <c r="R38">
        <f t="shared" ca="1" si="6"/>
        <v>2.4663016790923226E-6</v>
      </c>
    </row>
    <row r="39" spans="1:21" x14ac:dyDescent="0.2">
      <c r="A39" s="7" t="s">
        <v>28</v>
      </c>
      <c r="B39" s="41" t="s">
        <v>24</v>
      </c>
      <c r="C39" s="7">
        <v>52886.461000000003</v>
      </c>
      <c r="D39" s="42">
        <v>2E-3</v>
      </c>
      <c r="E39">
        <f t="shared" si="0"/>
        <v>2389.542581067803</v>
      </c>
      <c r="F39">
        <f t="shared" si="1"/>
        <v>2389.5</v>
      </c>
      <c r="K39">
        <f>+G39</f>
        <v>0</v>
      </c>
      <c r="O39">
        <f t="shared" ca="1" si="4"/>
        <v>-6.5484038121049835E-3</v>
      </c>
      <c r="Q39" s="2">
        <f t="shared" si="5"/>
        <v>37867.961000000003</v>
      </c>
      <c r="R39">
        <f t="shared" ca="1" si="6"/>
        <v>4.2881592486391076E-5</v>
      </c>
      <c r="U39" s="10">
        <v>2.599999999802094E-2</v>
      </c>
    </row>
    <row r="40" spans="1:21" x14ac:dyDescent="0.2">
      <c r="A40" s="43" t="s">
        <v>33</v>
      </c>
      <c r="B40" s="34"/>
      <c r="C40" s="35">
        <v>53258.587299999999</v>
      </c>
      <c r="D40" s="35">
        <v>6.0000000000000001E-3</v>
      </c>
      <c r="E40">
        <f t="shared" si="0"/>
        <v>2998.9862430396279</v>
      </c>
      <c r="F40">
        <f t="shared" si="1"/>
        <v>2999</v>
      </c>
      <c r="G40">
        <f t="shared" ref="G40:G58" si="7">+C40-(C$7+F40*C$8)</f>
        <v>-8.4000000060768798E-3</v>
      </c>
      <c r="J40">
        <f>+G40</f>
        <v>-8.4000000060768798E-3</v>
      </c>
      <c r="O40">
        <f t="shared" ca="1" si="4"/>
        <v>-8.9850745941860068E-3</v>
      </c>
      <c r="Q40" s="2">
        <f t="shared" si="5"/>
        <v>38240.087299999999</v>
      </c>
      <c r="R40">
        <f t="shared" ca="1" si="6"/>
        <v>3.4231227365106466E-7</v>
      </c>
    </row>
    <row r="41" spans="1:21" x14ac:dyDescent="0.2">
      <c r="A41" s="46" t="s">
        <v>39</v>
      </c>
      <c r="B41" s="44"/>
      <c r="C41" s="35">
        <v>53655.475400000003</v>
      </c>
      <c r="D41" s="35">
        <v>2.2000000000000001E-3</v>
      </c>
      <c r="E41">
        <f t="shared" si="0"/>
        <v>3648.9831313462178</v>
      </c>
      <c r="F41">
        <f t="shared" si="1"/>
        <v>3649</v>
      </c>
      <c r="G41">
        <f t="shared" si="7"/>
        <v>-1.0300000001734588E-2</v>
      </c>
      <c r="J41">
        <f>+G41</f>
        <v>-1.0300000001734588E-2</v>
      </c>
      <c r="O41">
        <f t="shared" ca="1" si="4"/>
        <v>-1.1583657052516877E-2</v>
      </c>
      <c r="Q41" s="2">
        <f t="shared" si="5"/>
        <v>38636.975400000003</v>
      </c>
      <c r="R41">
        <f t="shared" ca="1" si="6"/>
        <v>1.6477754240230833E-6</v>
      </c>
    </row>
    <row r="42" spans="1:21" x14ac:dyDescent="0.2">
      <c r="A42" s="35" t="s">
        <v>39</v>
      </c>
      <c r="B42" s="34"/>
      <c r="C42" s="35">
        <v>53655.475400000003</v>
      </c>
      <c r="D42" s="35">
        <v>2.2000000000000001E-3</v>
      </c>
      <c r="E42">
        <f t="shared" si="0"/>
        <v>3648.9831313462178</v>
      </c>
      <c r="F42">
        <f t="shared" si="1"/>
        <v>3649</v>
      </c>
      <c r="G42">
        <f t="shared" si="7"/>
        <v>-1.0300000001734588E-2</v>
      </c>
      <c r="J42">
        <f>+G42</f>
        <v>-1.0300000001734588E-2</v>
      </c>
      <c r="O42">
        <f t="shared" ca="1" si="4"/>
        <v>-1.1583657052516877E-2</v>
      </c>
      <c r="Q42" s="2">
        <f t="shared" si="5"/>
        <v>38636.975400000003</v>
      </c>
      <c r="R42">
        <f t="shared" ca="1" si="6"/>
        <v>1.6477754240230833E-6</v>
      </c>
    </row>
    <row r="43" spans="1:21" x14ac:dyDescent="0.2">
      <c r="A43" s="46" t="s">
        <v>50</v>
      </c>
      <c r="B43" s="47" t="s">
        <v>24</v>
      </c>
      <c r="C43" s="35">
        <v>54027.327409999998</v>
      </c>
      <c r="D43" s="35">
        <v>1E-4</v>
      </c>
      <c r="E43">
        <f t="shared" si="0"/>
        <v>4257.9775794300613</v>
      </c>
      <c r="F43">
        <f t="shared" si="1"/>
        <v>4258</v>
      </c>
      <c r="G43">
        <f t="shared" si="7"/>
        <v>-1.3690000007045455E-2</v>
      </c>
      <c r="K43">
        <f t="shared" ref="K43:K49" si="8">+G43</f>
        <v>-1.3690000007045455E-2</v>
      </c>
      <c r="O43">
        <f t="shared" ca="1" si="4"/>
        <v>-1.401832892501457E-2</v>
      </c>
      <c r="Q43" s="2">
        <f t="shared" si="5"/>
        <v>39008.827409999998</v>
      </c>
      <c r="R43">
        <f t="shared" ca="1" si="6"/>
        <v>1.0779987837476979E-7</v>
      </c>
    </row>
    <row r="44" spans="1:21" x14ac:dyDescent="0.2">
      <c r="A44" s="63" t="s">
        <v>167</v>
      </c>
      <c r="B44" s="64" t="s">
        <v>24</v>
      </c>
      <c r="C44" s="65">
        <v>55082.436300000001</v>
      </c>
      <c r="D44" s="65" t="s">
        <v>48</v>
      </c>
      <c r="E44">
        <f t="shared" ref="E44:E58" si="9">+(C44-C$7)/C$8</f>
        <v>5985.9646249590542</v>
      </c>
      <c r="F44">
        <f t="shared" ref="F44:F58" si="10">ROUND(2*E44,0)/2</f>
        <v>5986</v>
      </c>
      <c r="G44">
        <f t="shared" si="7"/>
        <v>-2.1600000000034925E-2</v>
      </c>
      <c r="K44">
        <f t="shared" si="8"/>
        <v>-2.1600000000034925E-2</v>
      </c>
      <c r="O44">
        <f t="shared" ref="O44:O58" ca="1" si="11">+C$11+C$12*$F44</f>
        <v>-2.092656044500802E-2</v>
      </c>
      <c r="Q44" s="2">
        <f t="shared" ref="Q44:Q58" si="12">+C44-15018.5</f>
        <v>40063.936300000001</v>
      </c>
      <c r="R44">
        <f t="shared" ref="R44:R58" ca="1" si="13">+(O44-G44)^2</f>
        <v>4.5352083427483483E-7</v>
      </c>
    </row>
    <row r="45" spans="1:21" x14ac:dyDescent="0.2">
      <c r="A45" s="63" t="s">
        <v>167</v>
      </c>
      <c r="B45" s="64" t="s">
        <v>24</v>
      </c>
      <c r="C45" s="65">
        <v>55098.311300000001</v>
      </c>
      <c r="D45" s="65" t="s">
        <v>48</v>
      </c>
      <c r="E45">
        <f t="shared" si="9"/>
        <v>6011.9636423190286</v>
      </c>
      <c r="F45">
        <f t="shared" si="10"/>
        <v>6012</v>
      </c>
      <c r="G45">
        <f t="shared" si="7"/>
        <v>-2.2199999999429565E-2</v>
      </c>
      <c r="K45">
        <f t="shared" si="8"/>
        <v>-2.2199999999429565E-2</v>
      </c>
      <c r="O45">
        <f t="shared" ca="1" si="11"/>
        <v>-2.1030503743341256E-2</v>
      </c>
      <c r="Q45" s="2">
        <f t="shared" si="12"/>
        <v>40079.811300000001</v>
      </c>
      <c r="R45">
        <f t="shared" ca="1" si="13"/>
        <v>1.3677214930045723E-6</v>
      </c>
    </row>
    <row r="46" spans="1:21" x14ac:dyDescent="0.2">
      <c r="A46" s="7" t="s">
        <v>52</v>
      </c>
      <c r="B46" s="41" t="s">
        <v>53</v>
      </c>
      <c r="C46" s="7">
        <v>55362.6996</v>
      </c>
      <c r="D46" s="7">
        <v>1.1999999999999999E-3</v>
      </c>
      <c r="E46">
        <f t="shared" si="9"/>
        <v>6444.9611857189602</v>
      </c>
      <c r="F46">
        <f t="shared" si="10"/>
        <v>6445</v>
      </c>
      <c r="G46">
        <f t="shared" si="7"/>
        <v>-2.3700000005192123E-2</v>
      </c>
      <c r="K46">
        <f t="shared" si="8"/>
        <v>-2.3700000005192123E-2</v>
      </c>
      <c r="O46">
        <f t="shared" ca="1" si="11"/>
        <v>-2.2761559442506282E-2</v>
      </c>
      <c r="Q46" s="2">
        <f t="shared" si="12"/>
        <v>40344.1996</v>
      </c>
      <c r="R46">
        <f t="shared" ca="1" si="13"/>
        <v>8.8067068969411806E-7</v>
      </c>
    </row>
    <row r="47" spans="1:21" x14ac:dyDescent="0.2">
      <c r="A47" s="66" t="s">
        <v>54</v>
      </c>
      <c r="B47" s="67" t="s">
        <v>24</v>
      </c>
      <c r="C47" s="68">
        <v>55728.446969999997</v>
      </c>
      <c r="D47" s="68">
        <v>2.0000000000000001E-4</v>
      </c>
      <c r="E47">
        <f t="shared" si="9"/>
        <v>7043.9578611202005</v>
      </c>
      <c r="F47">
        <f t="shared" si="10"/>
        <v>7044</v>
      </c>
      <c r="G47">
        <f t="shared" si="7"/>
        <v>-2.5730000008479692E-2</v>
      </c>
      <c r="K47">
        <f t="shared" si="8"/>
        <v>-2.5730000008479692E-2</v>
      </c>
      <c r="O47">
        <f t="shared" ca="1" si="11"/>
        <v>-2.5156253123337344E-2</v>
      </c>
      <c r="Q47" s="2">
        <f t="shared" si="12"/>
        <v>40709.946969999997</v>
      </c>
      <c r="R47">
        <f t="shared" ca="1" si="13"/>
        <v>3.2918548821054697E-7</v>
      </c>
    </row>
    <row r="48" spans="1:21" x14ac:dyDescent="0.2">
      <c r="A48" s="66" t="s">
        <v>54</v>
      </c>
      <c r="B48" s="67" t="s">
        <v>24</v>
      </c>
      <c r="C48" s="68">
        <v>55728.447370000002</v>
      </c>
      <c r="D48" s="68">
        <v>4.0000000000000002E-4</v>
      </c>
      <c r="E48">
        <f t="shared" si="9"/>
        <v>7043.9585162135591</v>
      </c>
      <c r="F48">
        <f t="shared" si="10"/>
        <v>7044</v>
      </c>
      <c r="G48">
        <f t="shared" si="7"/>
        <v>-2.5330000004032627E-2</v>
      </c>
      <c r="K48">
        <f t="shared" si="8"/>
        <v>-2.5330000004032627E-2</v>
      </c>
      <c r="O48">
        <f t="shared" ca="1" si="11"/>
        <v>-2.5156253123337344E-2</v>
      </c>
      <c r="Q48" s="2">
        <f t="shared" si="12"/>
        <v>40709.947370000002</v>
      </c>
      <c r="R48">
        <f t="shared" ca="1" si="13"/>
        <v>3.0187978551340904E-8</v>
      </c>
    </row>
    <row r="49" spans="1:18" x14ac:dyDescent="0.2">
      <c r="A49" s="66" t="s">
        <v>54</v>
      </c>
      <c r="B49" s="67" t="s">
        <v>24</v>
      </c>
      <c r="C49" s="68">
        <v>55728.447370000002</v>
      </c>
      <c r="D49" s="68">
        <v>2.0000000000000001E-4</v>
      </c>
      <c r="E49">
        <f t="shared" si="9"/>
        <v>7043.9585162135591</v>
      </c>
      <c r="F49">
        <f t="shared" si="10"/>
        <v>7044</v>
      </c>
      <c r="G49">
        <f t="shared" si="7"/>
        <v>-2.5330000004032627E-2</v>
      </c>
      <c r="K49">
        <f t="shared" si="8"/>
        <v>-2.5330000004032627E-2</v>
      </c>
      <c r="O49">
        <f t="shared" ca="1" si="11"/>
        <v>-2.5156253123337344E-2</v>
      </c>
      <c r="Q49" s="2">
        <f t="shared" si="12"/>
        <v>40709.947370000002</v>
      </c>
      <c r="R49">
        <f t="shared" ca="1" si="13"/>
        <v>3.0187978551340904E-8</v>
      </c>
    </row>
    <row r="50" spans="1:18" x14ac:dyDescent="0.2">
      <c r="A50" s="66" t="s">
        <v>55</v>
      </c>
      <c r="B50" s="67" t="s">
        <v>24</v>
      </c>
      <c r="C50" s="68">
        <v>55836.525300000001</v>
      </c>
      <c r="D50" s="68">
        <v>1.9E-3</v>
      </c>
      <c r="E50">
        <f t="shared" si="9"/>
        <v>7220.9613494923005</v>
      </c>
      <c r="F50">
        <f t="shared" si="10"/>
        <v>7221</v>
      </c>
      <c r="G50">
        <f t="shared" si="7"/>
        <v>-2.3600000000442378E-2</v>
      </c>
      <c r="J50">
        <f>+G50</f>
        <v>-2.3600000000442378E-2</v>
      </c>
      <c r="O50">
        <f t="shared" ca="1" si="11"/>
        <v>-2.5863867115836672E-2</v>
      </c>
      <c r="Q50" s="2">
        <f t="shared" si="12"/>
        <v>40818.025300000001</v>
      </c>
      <c r="R50">
        <f t="shared" ca="1" si="13"/>
        <v>5.1250943161636819E-6</v>
      </c>
    </row>
    <row r="51" spans="1:18" x14ac:dyDescent="0.2">
      <c r="A51" s="66" t="s">
        <v>54</v>
      </c>
      <c r="B51" s="67" t="s">
        <v>24</v>
      </c>
      <c r="C51" s="68">
        <v>56169.297189999997</v>
      </c>
      <c r="D51" s="68">
        <v>2.0000000000000001E-4</v>
      </c>
      <c r="E51">
        <f t="shared" si="9"/>
        <v>7765.9529806747378</v>
      </c>
      <c r="F51">
        <f t="shared" si="10"/>
        <v>7766</v>
      </c>
      <c r="G51">
        <f t="shared" si="7"/>
        <v>-2.8710000005958136E-2</v>
      </c>
      <c r="K51">
        <f t="shared" ref="K51:K58" si="14">+G51</f>
        <v>-2.8710000005958136E-2</v>
      </c>
      <c r="O51">
        <f t="shared" ca="1" si="11"/>
        <v>-2.8042678561667943E-2</v>
      </c>
      <c r="Q51" s="2">
        <f t="shared" si="12"/>
        <v>41150.797189999997</v>
      </c>
      <c r="R51">
        <f t="shared" ca="1" si="13"/>
        <v>4.4531791000954972E-7</v>
      </c>
    </row>
    <row r="52" spans="1:18" x14ac:dyDescent="0.2">
      <c r="A52" s="66" t="s">
        <v>54</v>
      </c>
      <c r="B52" s="67" t="s">
        <v>24</v>
      </c>
      <c r="C52" s="68">
        <v>56169.297689999999</v>
      </c>
      <c r="D52" s="68">
        <v>2.9999999999999997E-4</v>
      </c>
      <c r="E52">
        <f t="shared" si="9"/>
        <v>7765.9537995414294</v>
      </c>
      <c r="F52">
        <f t="shared" si="10"/>
        <v>7766</v>
      </c>
      <c r="G52">
        <f t="shared" si="7"/>
        <v>-2.8210000004037283E-2</v>
      </c>
      <c r="K52">
        <f t="shared" si="14"/>
        <v>-2.8210000004037283E-2</v>
      </c>
      <c r="O52">
        <f t="shared" ca="1" si="11"/>
        <v>-2.8042678561667943E-2</v>
      </c>
      <c r="Q52" s="2">
        <f t="shared" si="12"/>
        <v>41150.797689999999</v>
      </c>
      <c r="R52">
        <f t="shared" ca="1" si="13"/>
        <v>2.7996465076556569E-8</v>
      </c>
    </row>
    <row r="53" spans="1:18" x14ac:dyDescent="0.2">
      <c r="A53" s="66" t="s">
        <v>54</v>
      </c>
      <c r="B53" s="67" t="s">
        <v>24</v>
      </c>
      <c r="C53" s="68">
        <v>56181.508930000004</v>
      </c>
      <c r="D53" s="68">
        <v>2.0000000000000001E-4</v>
      </c>
      <c r="E53">
        <f t="shared" si="9"/>
        <v>7785.9525548640695</v>
      </c>
      <c r="F53">
        <f t="shared" si="10"/>
        <v>7786</v>
      </c>
      <c r="G53">
        <f t="shared" si="7"/>
        <v>-2.8969999999389984E-2</v>
      </c>
      <c r="K53">
        <f t="shared" si="14"/>
        <v>-2.8969999999389984E-2</v>
      </c>
      <c r="O53">
        <f t="shared" ca="1" si="11"/>
        <v>-2.8122634945001203E-2</v>
      </c>
      <c r="Q53" s="2">
        <f t="shared" si="12"/>
        <v>41163.008930000004</v>
      </c>
      <c r="R53">
        <f t="shared" ca="1" si="13"/>
        <v>7.1802753539930158E-7</v>
      </c>
    </row>
    <row r="54" spans="1:18" x14ac:dyDescent="0.2">
      <c r="A54" s="66" t="s">
        <v>54</v>
      </c>
      <c r="B54" s="67" t="s">
        <v>24</v>
      </c>
      <c r="C54" s="68">
        <v>56181.509129999999</v>
      </c>
      <c r="D54" s="68">
        <v>2.0000000000000001E-4</v>
      </c>
      <c r="E54">
        <f t="shared" si="9"/>
        <v>7785.9528824107365</v>
      </c>
      <c r="F54">
        <f t="shared" si="10"/>
        <v>7786</v>
      </c>
      <c r="G54">
        <f t="shared" si="7"/>
        <v>-2.8770000004442409E-2</v>
      </c>
      <c r="K54">
        <f t="shared" si="14"/>
        <v>-2.8770000004442409E-2</v>
      </c>
      <c r="O54">
        <f t="shared" ca="1" si="11"/>
        <v>-2.8122634945001203E-2</v>
      </c>
      <c r="Q54" s="2">
        <f t="shared" si="12"/>
        <v>41163.009129999999</v>
      </c>
      <c r="R54">
        <f t="shared" ca="1" si="13"/>
        <v>4.1908152018531601E-7</v>
      </c>
    </row>
    <row r="55" spans="1:18" x14ac:dyDescent="0.2">
      <c r="A55" s="66" t="s">
        <v>54</v>
      </c>
      <c r="B55" s="67" t="s">
        <v>24</v>
      </c>
      <c r="C55" s="68">
        <v>56520.390140000003</v>
      </c>
      <c r="D55" s="68">
        <v>1E-4</v>
      </c>
      <c r="E55">
        <f t="shared" si="9"/>
        <v>8340.9496233213249</v>
      </c>
      <c r="F55">
        <f t="shared" si="10"/>
        <v>8341</v>
      </c>
      <c r="G55">
        <f t="shared" si="7"/>
        <v>-3.0760000001464505E-2</v>
      </c>
      <c r="K55">
        <f t="shared" si="14"/>
        <v>-3.0760000001464505E-2</v>
      </c>
      <c r="O55">
        <f t="shared" ca="1" si="11"/>
        <v>-3.0341424582499096E-2</v>
      </c>
      <c r="Q55" s="2">
        <f t="shared" si="12"/>
        <v>41501.890140000003</v>
      </c>
      <c r="R55">
        <f t="shared" ca="1" si="13"/>
        <v>1.7520538136206716E-7</v>
      </c>
    </row>
    <row r="56" spans="1:18" x14ac:dyDescent="0.2">
      <c r="A56" s="66" t="s">
        <v>54</v>
      </c>
      <c r="B56" s="67" t="s">
        <v>24</v>
      </c>
      <c r="C56" s="68">
        <v>56520.390180000002</v>
      </c>
      <c r="D56" s="68">
        <v>1E-4</v>
      </c>
      <c r="E56">
        <f t="shared" si="9"/>
        <v>8340.9496888306567</v>
      </c>
      <c r="F56">
        <f t="shared" si="10"/>
        <v>8341</v>
      </c>
      <c r="G56">
        <f t="shared" si="7"/>
        <v>-3.072000000247499E-2</v>
      </c>
      <c r="K56">
        <f t="shared" si="14"/>
        <v>-3.072000000247499E-2</v>
      </c>
      <c r="O56">
        <f t="shared" ca="1" si="11"/>
        <v>-3.0341424582499096E-2</v>
      </c>
      <c r="Q56" s="2">
        <f t="shared" si="12"/>
        <v>41501.890180000002</v>
      </c>
      <c r="R56">
        <f t="shared" ca="1" si="13"/>
        <v>1.4331934860992405E-7</v>
      </c>
    </row>
    <row r="57" spans="1:18" ht="12" customHeight="1" x14ac:dyDescent="0.2">
      <c r="A57" s="69" t="s">
        <v>211</v>
      </c>
      <c r="B57" s="70" t="s">
        <v>24</v>
      </c>
      <c r="C57" s="71">
        <v>57205.478159999999</v>
      </c>
      <c r="D57" s="71">
        <v>2.0000000000000001E-4</v>
      </c>
      <c r="E57">
        <f t="shared" si="9"/>
        <v>9462.9411398624234</v>
      </c>
      <c r="F57">
        <f t="shared" si="10"/>
        <v>9463</v>
      </c>
      <c r="G57">
        <f t="shared" si="7"/>
        <v>-3.5940000001573935E-2</v>
      </c>
      <c r="K57">
        <f t="shared" si="14"/>
        <v>-3.5940000001573935E-2</v>
      </c>
      <c r="O57">
        <f t="shared" ca="1" si="11"/>
        <v>-3.4826977687494848E-2</v>
      </c>
      <c r="Q57" s="2">
        <f t="shared" si="12"/>
        <v>42186.978159999999</v>
      </c>
      <c r="R57">
        <f t="shared" ca="1" si="13"/>
        <v>1.2388186716379665E-6</v>
      </c>
    </row>
    <row r="58" spans="1:18" ht="12" customHeight="1" x14ac:dyDescent="0.2">
      <c r="A58" s="69" t="s">
        <v>211</v>
      </c>
      <c r="B58" s="70" t="s">
        <v>24</v>
      </c>
      <c r="C58" s="71">
        <v>57205.478949999997</v>
      </c>
      <c r="D58" s="71">
        <v>1E-4</v>
      </c>
      <c r="E58">
        <f t="shared" si="9"/>
        <v>9462.9424336717893</v>
      </c>
      <c r="F58">
        <f t="shared" si="10"/>
        <v>9463</v>
      </c>
      <c r="G58">
        <f t="shared" si="7"/>
        <v>-3.515000000334112E-2</v>
      </c>
      <c r="K58">
        <f t="shared" si="14"/>
        <v>-3.515000000334112E-2</v>
      </c>
      <c r="O58">
        <f t="shared" ca="1" si="11"/>
        <v>-3.4826977687494848E-2</v>
      </c>
      <c r="Q58" s="2">
        <f t="shared" si="12"/>
        <v>42186.978949999997</v>
      </c>
      <c r="R58">
        <f t="shared" ca="1" si="13"/>
        <v>1.0434341653468867E-7</v>
      </c>
    </row>
    <row r="59" spans="1:18" ht="12" customHeight="1" x14ac:dyDescent="0.2">
      <c r="A59" s="72" t="s">
        <v>212</v>
      </c>
      <c r="B59" s="73" t="s">
        <v>24</v>
      </c>
      <c r="C59" s="74">
        <v>59710.756699999998</v>
      </c>
      <c r="D59" s="72">
        <v>5.9999999999999995E-4</v>
      </c>
      <c r="E59">
        <f t="shared" ref="E59" si="15">+(C59-C$7)/C$8</f>
        <v>13565.919423517844</v>
      </c>
      <c r="F59">
        <f t="shared" ref="F59" si="16">ROUND(2*E59,0)/2</f>
        <v>13566</v>
      </c>
      <c r="G59">
        <f t="shared" ref="G59" si="17">+C59-(C$7+F59*C$8)</f>
        <v>-4.9200000008568168E-2</v>
      </c>
      <c r="K59">
        <f t="shared" ref="K59" si="18">+G59</f>
        <v>-4.9200000008568168E-2</v>
      </c>
      <c r="O59">
        <f t="shared" ref="O59" ca="1" si="19">+C$11+C$12*$F59</f>
        <v>-5.1230029728312636E-2</v>
      </c>
      <c r="Q59" s="2">
        <f t="shared" ref="Q59" si="20">+C59-15018.5</f>
        <v>44692.256699999998</v>
      </c>
      <c r="R59">
        <f t="shared" ref="R59" ca="1" si="21">+(O59-G59)^2</f>
        <v>4.1210206630458034E-6</v>
      </c>
    </row>
    <row r="60" spans="1:18" ht="12" customHeight="1" x14ac:dyDescent="0.2">
      <c r="C60" s="50"/>
      <c r="D60" s="50"/>
    </row>
    <row r="61" spans="1:18" ht="12" customHeight="1" x14ac:dyDescent="0.2">
      <c r="C61" s="50"/>
      <c r="D61" s="50"/>
    </row>
    <row r="62" spans="1:18" x14ac:dyDescent="0.2">
      <c r="C62" s="50"/>
      <c r="D62" s="50"/>
    </row>
    <row r="63" spans="1:18" x14ac:dyDescent="0.2">
      <c r="C63" s="50"/>
      <c r="D63" s="50"/>
    </row>
    <row r="64" spans="1:18" x14ac:dyDescent="0.2">
      <c r="C64" s="50"/>
      <c r="D64" s="50"/>
    </row>
    <row r="65" spans="3:4" x14ac:dyDescent="0.2">
      <c r="C65" s="50"/>
      <c r="D65" s="50"/>
    </row>
    <row r="66" spans="3:4" x14ac:dyDescent="0.2">
      <c r="C66" s="50"/>
      <c r="D66" s="50"/>
    </row>
    <row r="67" spans="3:4" x14ac:dyDescent="0.2">
      <c r="C67" s="50"/>
      <c r="D67" s="50"/>
    </row>
    <row r="68" spans="3:4" x14ac:dyDescent="0.2">
      <c r="C68" s="50"/>
      <c r="D68" s="50"/>
    </row>
    <row r="69" spans="3:4" x14ac:dyDescent="0.2">
      <c r="C69" s="50"/>
      <c r="D69" s="50"/>
    </row>
    <row r="70" spans="3:4" x14ac:dyDescent="0.2">
      <c r="C70" s="50"/>
      <c r="D70" s="50"/>
    </row>
    <row r="71" spans="3:4" x14ac:dyDescent="0.2">
      <c r="C71" s="50"/>
      <c r="D71" s="50"/>
    </row>
    <row r="72" spans="3:4" x14ac:dyDescent="0.2">
      <c r="C72" s="50"/>
      <c r="D72" s="50"/>
    </row>
    <row r="73" spans="3:4" x14ac:dyDescent="0.2">
      <c r="C73" s="50"/>
      <c r="D73" s="50"/>
    </row>
    <row r="74" spans="3:4" x14ac:dyDescent="0.2">
      <c r="C74" s="50"/>
      <c r="D74" s="50"/>
    </row>
    <row r="75" spans="3:4" x14ac:dyDescent="0.2">
      <c r="C75" s="50"/>
      <c r="D75" s="50"/>
    </row>
    <row r="76" spans="3:4" x14ac:dyDescent="0.2">
      <c r="C76" s="50"/>
      <c r="D76" s="50"/>
    </row>
    <row r="77" spans="3:4" x14ac:dyDescent="0.2">
      <c r="C77" s="50"/>
      <c r="D77" s="50"/>
    </row>
    <row r="78" spans="3:4" x14ac:dyDescent="0.2">
      <c r="C78" s="50"/>
      <c r="D78" s="50"/>
    </row>
    <row r="79" spans="3:4" x14ac:dyDescent="0.2">
      <c r="C79" s="50"/>
      <c r="D79" s="50"/>
    </row>
    <row r="80" spans="3:4" x14ac:dyDescent="0.2">
      <c r="C80" s="50"/>
      <c r="D80" s="50"/>
    </row>
    <row r="81" spans="3:4" x14ac:dyDescent="0.2">
      <c r="C81" s="50"/>
      <c r="D81" s="50"/>
    </row>
    <row r="82" spans="3:4" x14ac:dyDescent="0.2">
      <c r="C82" s="50"/>
      <c r="D82" s="50"/>
    </row>
    <row r="83" spans="3:4" x14ac:dyDescent="0.2">
      <c r="C83" s="50"/>
      <c r="D83" s="50"/>
    </row>
    <row r="84" spans="3:4" x14ac:dyDescent="0.2">
      <c r="C84" s="50"/>
      <c r="D84" s="50"/>
    </row>
    <row r="85" spans="3:4" x14ac:dyDescent="0.2">
      <c r="C85" s="50"/>
      <c r="D85" s="50"/>
    </row>
    <row r="86" spans="3:4" x14ac:dyDescent="0.2">
      <c r="C86" s="50"/>
      <c r="D86" s="50"/>
    </row>
    <row r="87" spans="3:4" x14ac:dyDescent="0.2">
      <c r="C87" s="50"/>
      <c r="D87" s="50"/>
    </row>
    <row r="88" spans="3:4" x14ac:dyDescent="0.2">
      <c r="C88" s="50"/>
      <c r="D88" s="50"/>
    </row>
    <row r="89" spans="3:4" x14ac:dyDescent="0.2">
      <c r="C89" s="50"/>
      <c r="D89" s="50"/>
    </row>
    <row r="90" spans="3:4" x14ac:dyDescent="0.2">
      <c r="C90" s="50"/>
      <c r="D90" s="50"/>
    </row>
    <row r="91" spans="3:4" x14ac:dyDescent="0.2">
      <c r="C91" s="50"/>
      <c r="D91" s="50"/>
    </row>
    <row r="92" spans="3:4" x14ac:dyDescent="0.2">
      <c r="C92" s="50"/>
      <c r="D92" s="50"/>
    </row>
    <row r="93" spans="3:4" x14ac:dyDescent="0.2">
      <c r="C93" s="50"/>
      <c r="D93" s="50"/>
    </row>
    <row r="94" spans="3:4" x14ac:dyDescent="0.2">
      <c r="C94" s="50"/>
      <c r="D94" s="50"/>
    </row>
    <row r="95" spans="3:4" x14ac:dyDescent="0.2">
      <c r="C95" s="50"/>
      <c r="D95" s="50"/>
    </row>
    <row r="96" spans="3:4" x14ac:dyDescent="0.2">
      <c r="C96" s="50"/>
      <c r="D96" s="50"/>
    </row>
    <row r="97" spans="3:4" x14ac:dyDescent="0.2">
      <c r="C97" s="50"/>
      <c r="D97" s="50"/>
    </row>
    <row r="98" spans="3:4" x14ac:dyDescent="0.2">
      <c r="C98" s="50"/>
      <c r="D98" s="50"/>
    </row>
    <row r="99" spans="3:4" x14ac:dyDescent="0.2">
      <c r="C99" s="50"/>
      <c r="D99" s="50"/>
    </row>
    <row r="100" spans="3:4" x14ac:dyDescent="0.2">
      <c r="C100" s="50"/>
      <c r="D100" s="50"/>
    </row>
    <row r="101" spans="3:4" x14ac:dyDescent="0.2">
      <c r="C101" s="50"/>
      <c r="D101" s="50"/>
    </row>
    <row r="102" spans="3:4" x14ac:dyDescent="0.2">
      <c r="C102" s="50"/>
      <c r="D102" s="50"/>
    </row>
    <row r="103" spans="3:4" x14ac:dyDescent="0.2">
      <c r="C103" s="50"/>
      <c r="D103" s="50"/>
    </row>
    <row r="104" spans="3:4" x14ac:dyDescent="0.2">
      <c r="C104" s="50"/>
      <c r="D104" s="50"/>
    </row>
    <row r="105" spans="3:4" x14ac:dyDescent="0.2">
      <c r="C105" s="50"/>
      <c r="D105" s="50"/>
    </row>
    <row r="106" spans="3:4" x14ac:dyDescent="0.2">
      <c r="C106" s="50"/>
      <c r="D106" s="50"/>
    </row>
    <row r="107" spans="3:4" x14ac:dyDescent="0.2">
      <c r="C107" s="50"/>
      <c r="D107" s="50"/>
    </row>
    <row r="108" spans="3:4" x14ac:dyDescent="0.2">
      <c r="C108" s="50"/>
      <c r="D108" s="50"/>
    </row>
    <row r="109" spans="3:4" x14ac:dyDescent="0.2">
      <c r="C109" s="50"/>
      <c r="D109" s="50"/>
    </row>
    <row r="110" spans="3:4" x14ac:dyDescent="0.2">
      <c r="C110" s="50"/>
      <c r="D110" s="50"/>
    </row>
    <row r="111" spans="3:4" x14ac:dyDescent="0.2">
      <c r="C111" s="50"/>
      <c r="D111" s="50"/>
    </row>
    <row r="112" spans="3:4" x14ac:dyDescent="0.2">
      <c r="C112" s="50"/>
      <c r="D112" s="50"/>
    </row>
    <row r="113" spans="3:4" x14ac:dyDescent="0.2">
      <c r="C113" s="50"/>
      <c r="D113" s="50"/>
    </row>
    <row r="114" spans="3:4" x14ac:dyDescent="0.2">
      <c r="C114" s="50"/>
      <c r="D114" s="50"/>
    </row>
    <row r="115" spans="3:4" x14ac:dyDescent="0.2">
      <c r="C115" s="50"/>
      <c r="D115" s="50"/>
    </row>
    <row r="116" spans="3:4" x14ac:dyDescent="0.2">
      <c r="C116" s="50"/>
      <c r="D116" s="50"/>
    </row>
    <row r="117" spans="3:4" x14ac:dyDescent="0.2">
      <c r="C117" s="50"/>
      <c r="D117" s="50"/>
    </row>
    <row r="118" spans="3:4" x14ac:dyDescent="0.2">
      <c r="C118" s="50"/>
      <c r="D118" s="50"/>
    </row>
    <row r="119" spans="3:4" x14ac:dyDescent="0.2">
      <c r="C119" s="50"/>
      <c r="D119" s="50"/>
    </row>
    <row r="120" spans="3:4" x14ac:dyDescent="0.2">
      <c r="C120" s="50"/>
      <c r="D120" s="50"/>
    </row>
    <row r="121" spans="3:4" x14ac:dyDescent="0.2">
      <c r="C121" s="50"/>
      <c r="D121" s="50"/>
    </row>
    <row r="122" spans="3:4" x14ac:dyDescent="0.2">
      <c r="C122" s="50"/>
      <c r="D122" s="50"/>
    </row>
    <row r="123" spans="3:4" x14ac:dyDescent="0.2">
      <c r="C123" s="50"/>
      <c r="D123" s="50"/>
    </row>
    <row r="124" spans="3:4" x14ac:dyDescent="0.2">
      <c r="C124" s="50"/>
      <c r="D124" s="50"/>
    </row>
    <row r="125" spans="3:4" x14ac:dyDescent="0.2">
      <c r="C125" s="50"/>
      <c r="D125" s="50"/>
    </row>
    <row r="126" spans="3:4" x14ac:dyDescent="0.2">
      <c r="C126" s="50"/>
      <c r="D126" s="50"/>
    </row>
    <row r="127" spans="3:4" x14ac:dyDescent="0.2">
      <c r="C127" s="50"/>
      <c r="D127" s="50"/>
    </row>
    <row r="128" spans="3:4" x14ac:dyDescent="0.2">
      <c r="C128" s="50"/>
      <c r="D128" s="50"/>
    </row>
    <row r="129" spans="3:4" x14ac:dyDescent="0.2">
      <c r="C129" s="50"/>
      <c r="D129" s="50"/>
    </row>
    <row r="130" spans="3:4" x14ac:dyDescent="0.2">
      <c r="C130" s="50"/>
      <c r="D130" s="50"/>
    </row>
    <row r="131" spans="3:4" x14ac:dyDescent="0.2">
      <c r="C131" s="50"/>
      <c r="D131" s="50"/>
    </row>
    <row r="132" spans="3:4" x14ac:dyDescent="0.2">
      <c r="C132" s="50"/>
      <c r="D132" s="50"/>
    </row>
    <row r="133" spans="3:4" x14ac:dyDescent="0.2">
      <c r="C133" s="50"/>
      <c r="D133" s="50"/>
    </row>
    <row r="134" spans="3:4" x14ac:dyDescent="0.2">
      <c r="C134" s="50"/>
      <c r="D134" s="50"/>
    </row>
    <row r="135" spans="3:4" x14ac:dyDescent="0.2">
      <c r="C135" s="50"/>
      <c r="D135" s="50"/>
    </row>
    <row r="136" spans="3:4" x14ac:dyDescent="0.2">
      <c r="C136" s="50"/>
      <c r="D136" s="50"/>
    </row>
    <row r="137" spans="3:4" x14ac:dyDescent="0.2">
      <c r="C137" s="50"/>
      <c r="D137" s="50"/>
    </row>
    <row r="138" spans="3:4" x14ac:dyDescent="0.2">
      <c r="C138" s="50"/>
      <c r="D138" s="50"/>
    </row>
    <row r="139" spans="3:4" x14ac:dyDescent="0.2">
      <c r="C139" s="50"/>
      <c r="D139" s="50"/>
    </row>
    <row r="140" spans="3:4" x14ac:dyDescent="0.2">
      <c r="C140" s="50"/>
      <c r="D140" s="50"/>
    </row>
    <row r="141" spans="3:4" x14ac:dyDescent="0.2">
      <c r="C141" s="50"/>
      <c r="D141" s="50"/>
    </row>
    <row r="142" spans="3:4" x14ac:dyDescent="0.2">
      <c r="C142" s="50"/>
      <c r="D142" s="50"/>
    </row>
    <row r="143" spans="3:4" x14ac:dyDescent="0.2">
      <c r="C143" s="50"/>
      <c r="D143" s="50"/>
    </row>
    <row r="144" spans="3:4" x14ac:dyDescent="0.2">
      <c r="C144" s="50"/>
      <c r="D144" s="50"/>
    </row>
    <row r="145" spans="3:4" x14ac:dyDescent="0.2">
      <c r="C145" s="50"/>
      <c r="D145" s="50"/>
    </row>
    <row r="146" spans="3:4" x14ac:dyDescent="0.2">
      <c r="C146" s="50"/>
      <c r="D146" s="50"/>
    </row>
    <row r="147" spans="3:4" x14ac:dyDescent="0.2">
      <c r="C147" s="50"/>
      <c r="D147" s="50"/>
    </row>
    <row r="148" spans="3:4" x14ac:dyDescent="0.2">
      <c r="C148" s="50"/>
      <c r="D148" s="50"/>
    </row>
    <row r="149" spans="3:4" x14ac:dyDescent="0.2">
      <c r="C149" s="50"/>
      <c r="D149" s="50"/>
    </row>
    <row r="150" spans="3:4" x14ac:dyDescent="0.2">
      <c r="C150" s="50"/>
      <c r="D150" s="50"/>
    </row>
    <row r="151" spans="3:4" x14ac:dyDescent="0.2">
      <c r="C151" s="50"/>
      <c r="D151" s="50"/>
    </row>
    <row r="152" spans="3:4" x14ac:dyDescent="0.2">
      <c r="C152" s="50"/>
      <c r="D152" s="50"/>
    </row>
    <row r="153" spans="3:4" x14ac:dyDescent="0.2">
      <c r="C153" s="50"/>
      <c r="D153" s="50"/>
    </row>
    <row r="154" spans="3:4" x14ac:dyDescent="0.2">
      <c r="C154" s="50"/>
      <c r="D154" s="50"/>
    </row>
    <row r="155" spans="3:4" x14ac:dyDescent="0.2">
      <c r="C155" s="50"/>
      <c r="D155" s="50"/>
    </row>
    <row r="156" spans="3:4" x14ac:dyDescent="0.2">
      <c r="C156" s="50"/>
      <c r="D156" s="50"/>
    </row>
    <row r="157" spans="3:4" x14ac:dyDescent="0.2">
      <c r="C157" s="50"/>
      <c r="D157" s="50"/>
    </row>
    <row r="158" spans="3:4" x14ac:dyDescent="0.2">
      <c r="C158" s="50"/>
      <c r="D158" s="50"/>
    </row>
    <row r="159" spans="3:4" x14ac:dyDescent="0.2">
      <c r="C159" s="50"/>
      <c r="D159" s="50"/>
    </row>
    <row r="160" spans="3:4" x14ac:dyDescent="0.2">
      <c r="C160" s="50"/>
      <c r="D160" s="50"/>
    </row>
    <row r="161" spans="3:4" x14ac:dyDescent="0.2">
      <c r="C161" s="50"/>
      <c r="D161" s="50"/>
    </row>
    <row r="162" spans="3:4" x14ac:dyDescent="0.2">
      <c r="C162" s="50"/>
      <c r="D162" s="50"/>
    </row>
    <row r="163" spans="3:4" x14ac:dyDescent="0.2">
      <c r="C163" s="50"/>
      <c r="D163" s="50"/>
    </row>
    <row r="164" spans="3:4" x14ac:dyDescent="0.2">
      <c r="C164" s="50"/>
      <c r="D164" s="50"/>
    </row>
    <row r="165" spans="3:4" x14ac:dyDescent="0.2">
      <c r="C165" s="50"/>
      <c r="D165" s="50"/>
    </row>
    <row r="166" spans="3:4" x14ac:dyDescent="0.2">
      <c r="C166" s="50"/>
      <c r="D166" s="50"/>
    </row>
    <row r="167" spans="3:4" x14ac:dyDescent="0.2">
      <c r="C167" s="50"/>
      <c r="D167" s="50"/>
    </row>
    <row r="168" spans="3:4" x14ac:dyDescent="0.2">
      <c r="C168" s="50"/>
      <c r="D168" s="50"/>
    </row>
    <row r="169" spans="3:4" x14ac:dyDescent="0.2">
      <c r="C169" s="50"/>
      <c r="D169" s="50"/>
    </row>
    <row r="170" spans="3:4" x14ac:dyDescent="0.2">
      <c r="C170" s="50"/>
      <c r="D170" s="50"/>
    </row>
    <row r="171" spans="3:4" x14ac:dyDescent="0.2">
      <c r="C171" s="50"/>
      <c r="D171" s="50"/>
    </row>
    <row r="172" spans="3:4" x14ac:dyDescent="0.2">
      <c r="C172" s="50"/>
      <c r="D172" s="50"/>
    </row>
    <row r="173" spans="3:4" x14ac:dyDescent="0.2">
      <c r="C173" s="50"/>
      <c r="D173" s="50"/>
    </row>
    <row r="174" spans="3:4" x14ac:dyDescent="0.2">
      <c r="C174" s="50"/>
      <c r="D174" s="50"/>
    </row>
    <row r="175" spans="3:4" x14ac:dyDescent="0.2">
      <c r="C175" s="50"/>
      <c r="D175" s="50"/>
    </row>
    <row r="176" spans="3:4" x14ac:dyDescent="0.2">
      <c r="C176" s="50"/>
      <c r="D176" s="50"/>
    </row>
    <row r="177" spans="3:4" x14ac:dyDescent="0.2">
      <c r="C177" s="50"/>
      <c r="D177" s="50"/>
    </row>
    <row r="178" spans="3:4" x14ac:dyDescent="0.2">
      <c r="C178" s="50"/>
      <c r="D178" s="50"/>
    </row>
    <row r="179" spans="3:4" x14ac:dyDescent="0.2">
      <c r="C179" s="50"/>
      <c r="D179" s="50"/>
    </row>
    <row r="180" spans="3:4" x14ac:dyDescent="0.2">
      <c r="C180" s="50"/>
      <c r="D180" s="50"/>
    </row>
    <row r="181" spans="3:4" x14ac:dyDescent="0.2">
      <c r="C181" s="50"/>
      <c r="D181" s="50"/>
    </row>
    <row r="182" spans="3:4" x14ac:dyDescent="0.2">
      <c r="C182" s="50"/>
      <c r="D182" s="50"/>
    </row>
    <row r="183" spans="3:4" x14ac:dyDescent="0.2">
      <c r="C183" s="50"/>
      <c r="D183" s="50"/>
    </row>
    <row r="184" spans="3:4" x14ac:dyDescent="0.2">
      <c r="C184" s="50"/>
      <c r="D184" s="50"/>
    </row>
    <row r="185" spans="3:4" x14ac:dyDescent="0.2">
      <c r="C185" s="50"/>
      <c r="D185" s="50"/>
    </row>
    <row r="186" spans="3:4" x14ac:dyDescent="0.2">
      <c r="C186" s="50"/>
      <c r="D186" s="50"/>
    </row>
    <row r="187" spans="3:4" x14ac:dyDescent="0.2">
      <c r="C187" s="50"/>
      <c r="D187" s="50"/>
    </row>
    <row r="188" spans="3:4" x14ac:dyDescent="0.2">
      <c r="C188" s="50"/>
      <c r="D188" s="50"/>
    </row>
    <row r="189" spans="3:4" x14ac:dyDescent="0.2">
      <c r="C189" s="50"/>
      <c r="D189" s="50"/>
    </row>
    <row r="190" spans="3:4" x14ac:dyDescent="0.2">
      <c r="C190" s="50"/>
      <c r="D190" s="50"/>
    </row>
    <row r="191" spans="3:4" x14ac:dyDescent="0.2">
      <c r="C191" s="50"/>
      <c r="D191" s="50"/>
    </row>
    <row r="192" spans="3:4" x14ac:dyDescent="0.2">
      <c r="C192" s="50"/>
      <c r="D192" s="50"/>
    </row>
    <row r="193" spans="3:4" x14ac:dyDescent="0.2">
      <c r="C193" s="50"/>
      <c r="D193" s="50"/>
    </row>
    <row r="194" spans="3:4" x14ac:dyDescent="0.2">
      <c r="C194" s="50"/>
      <c r="D194" s="50"/>
    </row>
    <row r="195" spans="3:4" x14ac:dyDescent="0.2">
      <c r="C195" s="50"/>
      <c r="D195" s="50"/>
    </row>
    <row r="196" spans="3:4" x14ac:dyDescent="0.2">
      <c r="C196" s="50"/>
      <c r="D196" s="50"/>
    </row>
    <row r="197" spans="3:4" x14ac:dyDescent="0.2">
      <c r="C197" s="50"/>
      <c r="D197" s="50"/>
    </row>
    <row r="198" spans="3:4" x14ac:dyDescent="0.2">
      <c r="C198" s="50"/>
      <c r="D198" s="50"/>
    </row>
    <row r="199" spans="3:4" x14ac:dyDescent="0.2">
      <c r="C199" s="50"/>
      <c r="D199" s="50"/>
    </row>
    <row r="200" spans="3:4" x14ac:dyDescent="0.2">
      <c r="C200" s="50"/>
      <c r="D200" s="50"/>
    </row>
    <row r="201" spans="3:4" x14ac:dyDescent="0.2">
      <c r="C201" s="50"/>
      <c r="D201" s="50"/>
    </row>
    <row r="202" spans="3:4" x14ac:dyDescent="0.2">
      <c r="C202" s="50"/>
      <c r="D202" s="50"/>
    </row>
    <row r="203" spans="3:4" x14ac:dyDescent="0.2">
      <c r="C203" s="50"/>
      <c r="D203" s="50"/>
    </row>
  </sheetData>
  <phoneticPr fontId="7" type="noConversion"/>
  <hyperlinks>
    <hyperlink ref="H90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workbookViewId="0">
      <selection activeCell="A40" sqref="A40:D44"/>
    </sheetView>
  </sheetViews>
  <sheetFormatPr defaultRowHeight="12.75" x14ac:dyDescent="0.2"/>
  <cols>
    <col min="1" max="1" width="19.7109375" style="50" customWidth="1"/>
    <col min="2" max="2" width="4.42578125" style="16" customWidth="1"/>
    <col min="3" max="3" width="12.7109375" style="5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9" t="s">
        <v>57</v>
      </c>
      <c r="I1" s="51" t="s">
        <v>58</v>
      </c>
      <c r="J1" s="52" t="s">
        <v>59</v>
      </c>
    </row>
    <row r="2" spans="1:16" x14ac:dyDescent="0.2">
      <c r="I2" s="53" t="s">
        <v>60</v>
      </c>
      <c r="J2" s="54" t="s">
        <v>61</v>
      </c>
    </row>
    <row r="3" spans="1:16" x14ac:dyDescent="0.2">
      <c r="A3" s="55" t="s">
        <v>62</v>
      </c>
      <c r="I3" s="53" t="s">
        <v>63</v>
      </c>
      <c r="J3" s="54" t="s">
        <v>64</v>
      </c>
    </row>
    <row r="4" spans="1:16" x14ac:dyDescent="0.2">
      <c r="I4" s="53" t="s">
        <v>65</v>
      </c>
      <c r="J4" s="54" t="s">
        <v>64</v>
      </c>
    </row>
    <row r="5" spans="1:16" ht="13.5" thickBot="1" x14ac:dyDescent="0.25">
      <c r="I5" s="56" t="s">
        <v>66</v>
      </c>
      <c r="J5" s="57" t="s">
        <v>48</v>
      </c>
    </row>
    <row r="10" spans="1:16" ht="13.5" thickBot="1" x14ac:dyDescent="0.25"/>
    <row r="11" spans="1:16" ht="12.75" customHeight="1" thickBot="1" x14ac:dyDescent="0.25">
      <c r="A11" s="50" t="str">
        <f t="shared" ref="A11:A44" si="0">P11</f>
        <v>IBVS 4819/5263 </v>
      </c>
      <c r="B11" s="21" t="str">
        <f t="shared" ref="B11:B44" si="1">IF(H11=INT(H11),"I","II")</f>
        <v>I</v>
      </c>
      <c r="C11" s="50">
        <f t="shared" ref="C11:C44" si="2">1*G11</f>
        <v>51427.409399999997</v>
      </c>
      <c r="D11" s="16" t="str">
        <f t="shared" ref="D11:D44" si="3">VLOOKUP(F11,I$1:J$5,2,FALSE)</f>
        <v>vis</v>
      </c>
      <c r="E11" s="58">
        <f>VLOOKUP(C11,Active!C$21:E$971,3,FALSE)</f>
        <v>5.0769734596249408E-3</v>
      </c>
      <c r="F11" s="21" t="s">
        <v>66</v>
      </c>
      <c r="G11" s="16" t="str">
        <f t="shared" ref="G11:G44" si="4">MID(I11,3,LEN(I11)-3)</f>
        <v>51427.4094</v>
      </c>
      <c r="H11" s="50">
        <f t="shared" ref="H11:H44" si="5">1*K11</f>
        <v>-1757</v>
      </c>
      <c r="I11" s="59" t="s">
        <v>67</v>
      </c>
      <c r="J11" s="60" t="s">
        <v>68</v>
      </c>
      <c r="K11" s="59">
        <v>-1757</v>
      </c>
      <c r="L11" s="59" t="s">
        <v>69</v>
      </c>
      <c r="M11" s="60" t="s">
        <v>70</v>
      </c>
      <c r="N11" s="60" t="s">
        <v>71</v>
      </c>
      <c r="O11" s="61" t="s">
        <v>72</v>
      </c>
      <c r="P11" s="62" t="s">
        <v>73</v>
      </c>
    </row>
    <row r="12" spans="1:16" ht="12.75" customHeight="1" thickBot="1" x14ac:dyDescent="0.25">
      <c r="A12" s="50" t="str">
        <f t="shared" si="0"/>
        <v>IBVS 4819/5263 </v>
      </c>
      <c r="B12" s="21" t="str">
        <f t="shared" si="1"/>
        <v>I</v>
      </c>
      <c r="C12" s="50">
        <f t="shared" si="2"/>
        <v>51435.3488</v>
      </c>
      <c r="D12" s="16" t="str">
        <f t="shared" si="3"/>
        <v>vis</v>
      </c>
      <c r="E12" s="58">
        <f>VLOOKUP(C12,Active!C$21:E$971,3,FALSE)</f>
        <v>13.007697346867639</v>
      </c>
      <c r="F12" s="21" t="s">
        <v>66</v>
      </c>
      <c r="G12" s="16" t="str">
        <f t="shared" si="4"/>
        <v>51435.3488</v>
      </c>
      <c r="H12" s="50">
        <f t="shared" si="5"/>
        <v>-1744</v>
      </c>
      <c r="I12" s="59" t="s">
        <v>74</v>
      </c>
      <c r="J12" s="60" t="s">
        <v>75</v>
      </c>
      <c r="K12" s="59">
        <v>-1744</v>
      </c>
      <c r="L12" s="59" t="s">
        <v>76</v>
      </c>
      <c r="M12" s="60" t="s">
        <v>70</v>
      </c>
      <c r="N12" s="60" t="s">
        <v>71</v>
      </c>
      <c r="O12" s="61" t="s">
        <v>77</v>
      </c>
      <c r="P12" s="62" t="s">
        <v>73</v>
      </c>
    </row>
    <row r="13" spans="1:16" ht="12.75" customHeight="1" thickBot="1" x14ac:dyDescent="0.25">
      <c r="A13" s="50" t="str">
        <f t="shared" si="0"/>
        <v>OEJV 0074 </v>
      </c>
      <c r="B13" s="21" t="str">
        <f t="shared" si="1"/>
        <v>I</v>
      </c>
      <c r="C13" s="50">
        <f t="shared" si="2"/>
        <v>51684.471660000003</v>
      </c>
      <c r="D13" s="16" t="str">
        <f t="shared" si="3"/>
        <v>vis</v>
      </c>
      <c r="E13" s="58">
        <f>VLOOKUP(C13,Active!C$21:E$971,3,FALSE)</f>
        <v>421.00452014412133</v>
      </c>
      <c r="F13" s="21" t="s">
        <v>66</v>
      </c>
      <c r="G13" s="16" t="str">
        <f t="shared" si="4"/>
        <v>51684.47166</v>
      </c>
      <c r="H13" s="50">
        <f t="shared" si="5"/>
        <v>-1336</v>
      </c>
      <c r="I13" s="59" t="s">
        <v>81</v>
      </c>
      <c r="J13" s="60" t="s">
        <v>82</v>
      </c>
      <c r="K13" s="59">
        <v>-1336</v>
      </c>
      <c r="L13" s="59" t="s">
        <v>83</v>
      </c>
      <c r="M13" s="60" t="s">
        <v>84</v>
      </c>
      <c r="N13" s="60" t="s">
        <v>85</v>
      </c>
      <c r="O13" s="61" t="s">
        <v>86</v>
      </c>
      <c r="P13" s="62" t="s">
        <v>87</v>
      </c>
    </row>
    <row r="14" spans="1:16" ht="12.75" customHeight="1" thickBot="1" x14ac:dyDescent="0.25">
      <c r="A14" s="50" t="str">
        <f t="shared" si="0"/>
        <v>OEJV 0074 </v>
      </c>
      <c r="B14" s="21" t="str">
        <f t="shared" si="1"/>
        <v>I</v>
      </c>
      <c r="C14" s="50">
        <f t="shared" si="2"/>
        <v>51698.51412</v>
      </c>
      <c r="D14" s="16" t="str">
        <f t="shared" si="3"/>
        <v>vis</v>
      </c>
      <c r="E14" s="58">
        <f>VLOOKUP(C14,Active!C$21:E$971,3,FALSE)</f>
        <v>444.00232558139112</v>
      </c>
      <c r="F14" s="21" t="s">
        <v>66</v>
      </c>
      <c r="G14" s="16" t="str">
        <f t="shared" si="4"/>
        <v>51698.51412</v>
      </c>
      <c r="H14" s="50">
        <f t="shared" si="5"/>
        <v>-1313</v>
      </c>
      <c r="I14" s="59" t="s">
        <v>88</v>
      </c>
      <c r="J14" s="60" t="s">
        <v>89</v>
      </c>
      <c r="K14" s="59">
        <v>-1313</v>
      </c>
      <c r="L14" s="59" t="s">
        <v>90</v>
      </c>
      <c r="M14" s="60" t="s">
        <v>84</v>
      </c>
      <c r="N14" s="60" t="s">
        <v>85</v>
      </c>
      <c r="O14" s="61" t="s">
        <v>86</v>
      </c>
      <c r="P14" s="62" t="s">
        <v>87</v>
      </c>
    </row>
    <row r="15" spans="1:16" ht="12.75" customHeight="1" thickBot="1" x14ac:dyDescent="0.25">
      <c r="A15" s="50" t="str">
        <f t="shared" si="0"/>
        <v>OEJV 0074 </v>
      </c>
      <c r="B15" s="21" t="str">
        <f t="shared" si="1"/>
        <v>I</v>
      </c>
      <c r="C15" s="50">
        <f t="shared" si="2"/>
        <v>51731.478999999999</v>
      </c>
      <c r="D15" s="16" t="str">
        <f t="shared" si="3"/>
        <v>vis</v>
      </c>
      <c r="E15" s="58">
        <f>VLOOKUP(C15,Active!C$21:E$971,3,FALSE)</f>
        <v>497.99000982639529</v>
      </c>
      <c r="F15" s="21" t="s">
        <v>66</v>
      </c>
      <c r="G15" s="16" t="str">
        <f t="shared" si="4"/>
        <v>51731.479</v>
      </c>
      <c r="H15" s="50">
        <f t="shared" si="5"/>
        <v>-1259</v>
      </c>
      <c r="I15" s="59" t="s">
        <v>91</v>
      </c>
      <c r="J15" s="60" t="s">
        <v>92</v>
      </c>
      <c r="K15" s="59">
        <v>-1259</v>
      </c>
      <c r="L15" s="59" t="s">
        <v>93</v>
      </c>
      <c r="M15" s="60" t="s">
        <v>94</v>
      </c>
      <c r="N15" s="60"/>
      <c r="O15" s="61" t="s">
        <v>95</v>
      </c>
      <c r="P15" s="62" t="s">
        <v>87</v>
      </c>
    </row>
    <row r="16" spans="1:16" ht="12.75" customHeight="1" thickBot="1" x14ac:dyDescent="0.25">
      <c r="A16" s="50" t="str">
        <f t="shared" si="0"/>
        <v>OEJV 0074 </v>
      </c>
      <c r="B16" s="21" t="str">
        <f t="shared" si="1"/>
        <v>I</v>
      </c>
      <c r="C16" s="50">
        <f t="shared" si="2"/>
        <v>51731.487999999998</v>
      </c>
      <c r="D16" s="16" t="str">
        <f t="shared" si="3"/>
        <v>vis</v>
      </c>
      <c r="E16" s="58">
        <f>VLOOKUP(C16,Active!C$21:E$971,3,FALSE)</f>
        <v>498.00474942678539</v>
      </c>
      <c r="F16" s="21" t="s">
        <v>66</v>
      </c>
      <c r="G16" s="16" t="str">
        <f t="shared" si="4"/>
        <v>51731.488</v>
      </c>
      <c r="H16" s="50">
        <f t="shared" si="5"/>
        <v>-1259</v>
      </c>
      <c r="I16" s="59" t="s">
        <v>96</v>
      </c>
      <c r="J16" s="60" t="s">
        <v>97</v>
      </c>
      <c r="K16" s="59">
        <v>-1259</v>
      </c>
      <c r="L16" s="59" t="s">
        <v>98</v>
      </c>
      <c r="M16" s="60" t="s">
        <v>94</v>
      </c>
      <c r="N16" s="60"/>
      <c r="O16" s="61" t="s">
        <v>99</v>
      </c>
      <c r="P16" s="62" t="s">
        <v>87</v>
      </c>
    </row>
    <row r="17" spans="1:16" ht="12.75" customHeight="1" thickBot="1" x14ac:dyDescent="0.25">
      <c r="A17" s="50" t="str">
        <f t="shared" si="0"/>
        <v>OEJV 0074 </v>
      </c>
      <c r="B17" s="21" t="str">
        <f t="shared" si="1"/>
        <v>I</v>
      </c>
      <c r="C17" s="50">
        <f t="shared" si="2"/>
        <v>51838.341379999998</v>
      </c>
      <c r="D17" s="16" t="str">
        <f t="shared" si="3"/>
        <v>vis</v>
      </c>
      <c r="E17" s="58">
        <f>VLOOKUP(C17,Active!C$21:E$971,3,FALSE)</f>
        <v>673.0020962987154</v>
      </c>
      <c r="F17" s="21" t="s">
        <v>66</v>
      </c>
      <c r="G17" s="16" t="str">
        <f t="shared" si="4"/>
        <v>51838.34138</v>
      </c>
      <c r="H17" s="50">
        <f t="shared" si="5"/>
        <v>-1084</v>
      </c>
      <c r="I17" s="59" t="s">
        <v>104</v>
      </c>
      <c r="J17" s="60" t="s">
        <v>105</v>
      </c>
      <c r="K17" s="59">
        <v>-1084</v>
      </c>
      <c r="L17" s="59" t="s">
        <v>106</v>
      </c>
      <c r="M17" s="60" t="s">
        <v>84</v>
      </c>
      <c r="N17" s="60" t="s">
        <v>85</v>
      </c>
      <c r="O17" s="61" t="s">
        <v>86</v>
      </c>
      <c r="P17" s="62" t="s">
        <v>87</v>
      </c>
    </row>
    <row r="18" spans="1:16" ht="12.75" customHeight="1" thickBot="1" x14ac:dyDescent="0.25">
      <c r="A18" s="50" t="str">
        <f t="shared" si="0"/>
        <v>OEJV 0074 </v>
      </c>
      <c r="B18" s="21" t="str">
        <f t="shared" si="1"/>
        <v>I</v>
      </c>
      <c r="C18" s="50">
        <f t="shared" si="2"/>
        <v>52087.465680000001</v>
      </c>
      <c r="D18" s="16" t="str">
        <f t="shared" si="3"/>
        <v>vis</v>
      </c>
      <c r="E18" s="58">
        <f>VLOOKUP(C18,Active!C$21:E$971,3,FALSE)</f>
        <v>1081.0012774320321</v>
      </c>
      <c r="F18" s="21" t="s">
        <v>66</v>
      </c>
      <c r="G18" s="16" t="str">
        <f t="shared" si="4"/>
        <v>52087.46568</v>
      </c>
      <c r="H18" s="50">
        <f t="shared" si="5"/>
        <v>-676</v>
      </c>
      <c r="I18" s="59" t="s">
        <v>107</v>
      </c>
      <c r="J18" s="60" t="s">
        <v>108</v>
      </c>
      <c r="K18" s="59">
        <v>-676</v>
      </c>
      <c r="L18" s="59" t="s">
        <v>109</v>
      </c>
      <c r="M18" s="60" t="s">
        <v>84</v>
      </c>
      <c r="N18" s="60" t="s">
        <v>85</v>
      </c>
      <c r="O18" s="61" t="s">
        <v>86</v>
      </c>
      <c r="P18" s="62" t="s">
        <v>87</v>
      </c>
    </row>
    <row r="19" spans="1:16" ht="12.75" customHeight="1" thickBot="1" x14ac:dyDescent="0.25">
      <c r="A19" s="50" t="str">
        <f t="shared" si="0"/>
        <v>IBVS 5583 </v>
      </c>
      <c r="B19" s="21" t="str">
        <f t="shared" si="1"/>
        <v>I</v>
      </c>
      <c r="C19" s="50">
        <f t="shared" si="2"/>
        <v>52145.467799999999</v>
      </c>
      <c r="D19" s="16" t="str">
        <f t="shared" si="3"/>
        <v>vis</v>
      </c>
      <c r="E19" s="58">
        <f>VLOOKUP(C19,Active!C$21:E$971,3,FALSE)</f>
        <v>1175.9932852931479</v>
      </c>
      <c r="F19" s="21" t="s">
        <v>66</v>
      </c>
      <c r="G19" s="16" t="str">
        <f t="shared" si="4"/>
        <v>52145.4678</v>
      </c>
      <c r="H19" s="50">
        <f t="shared" si="5"/>
        <v>-581</v>
      </c>
      <c r="I19" s="59" t="s">
        <v>110</v>
      </c>
      <c r="J19" s="60" t="s">
        <v>111</v>
      </c>
      <c r="K19" s="59">
        <v>-581</v>
      </c>
      <c r="L19" s="59" t="s">
        <v>112</v>
      </c>
      <c r="M19" s="60" t="s">
        <v>70</v>
      </c>
      <c r="N19" s="60" t="s">
        <v>71</v>
      </c>
      <c r="O19" s="61" t="s">
        <v>77</v>
      </c>
      <c r="P19" s="62" t="s">
        <v>113</v>
      </c>
    </row>
    <row r="20" spans="1:16" ht="12.75" customHeight="1" thickBot="1" x14ac:dyDescent="0.25">
      <c r="A20" s="50" t="str">
        <f t="shared" si="0"/>
        <v> BBS 130 </v>
      </c>
      <c r="B20" s="21" t="str">
        <f t="shared" si="1"/>
        <v>I</v>
      </c>
      <c r="C20" s="50">
        <f t="shared" si="2"/>
        <v>52146.544999999998</v>
      </c>
      <c r="D20" s="16" t="str">
        <f t="shared" si="3"/>
        <v>vis</v>
      </c>
      <c r="E20" s="58">
        <f>VLOOKUP(C20,Active!C$21:E$971,3,FALSE)</f>
        <v>1177.7574516868585</v>
      </c>
      <c r="F20" s="21" t="s">
        <v>66</v>
      </c>
      <c r="G20" s="16" t="str">
        <f t="shared" si="4"/>
        <v>52146.545</v>
      </c>
      <c r="H20" s="50">
        <f t="shared" si="5"/>
        <v>-579</v>
      </c>
      <c r="I20" s="59" t="s">
        <v>114</v>
      </c>
      <c r="J20" s="60" t="s">
        <v>115</v>
      </c>
      <c r="K20" s="59">
        <v>-579</v>
      </c>
      <c r="L20" s="59" t="s">
        <v>116</v>
      </c>
      <c r="M20" s="60" t="s">
        <v>94</v>
      </c>
      <c r="N20" s="60"/>
      <c r="O20" s="61" t="s">
        <v>117</v>
      </c>
      <c r="P20" s="61" t="s">
        <v>118</v>
      </c>
    </row>
    <row r="21" spans="1:16" ht="12.75" customHeight="1" thickBot="1" x14ac:dyDescent="0.25">
      <c r="A21" s="50" t="str">
        <f t="shared" si="0"/>
        <v>OEJV 0074 </v>
      </c>
      <c r="B21" s="21" t="str">
        <f t="shared" si="1"/>
        <v>I</v>
      </c>
      <c r="C21" s="50">
        <f t="shared" si="2"/>
        <v>52197.37098</v>
      </c>
      <c r="D21" s="16" t="str">
        <f t="shared" si="3"/>
        <v>vis</v>
      </c>
      <c r="E21" s="58">
        <f>VLOOKUP(C21,Active!C$21:E$971,3,FALSE)</f>
        <v>1260.9968555519117</v>
      </c>
      <c r="F21" s="21" t="s">
        <v>66</v>
      </c>
      <c r="G21" s="16" t="str">
        <f t="shared" si="4"/>
        <v>52197.37098</v>
      </c>
      <c r="H21" s="50">
        <f t="shared" si="5"/>
        <v>-496</v>
      </c>
      <c r="I21" s="59" t="s">
        <v>119</v>
      </c>
      <c r="J21" s="60" t="s">
        <v>120</v>
      </c>
      <c r="K21" s="59">
        <v>-496</v>
      </c>
      <c r="L21" s="59" t="s">
        <v>121</v>
      </c>
      <c r="M21" s="60" t="s">
        <v>84</v>
      </c>
      <c r="N21" s="60" t="s">
        <v>85</v>
      </c>
      <c r="O21" s="61" t="s">
        <v>86</v>
      </c>
      <c r="P21" s="62" t="s">
        <v>87</v>
      </c>
    </row>
    <row r="22" spans="1:16" ht="12.75" customHeight="1" thickBot="1" x14ac:dyDescent="0.25">
      <c r="A22" s="50" t="str">
        <f t="shared" si="0"/>
        <v>BAVM 172 </v>
      </c>
      <c r="B22" s="21" t="str">
        <f t="shared" si="1"/>
        <v>I</v>
      </c>
      <c r="C22" s="50">
        <f t="shared" si="2"/>
        <v>52835.443099999997</v>
      </c>
      <c r="D22" s="16" t="str">
        <f t="shared" si="3"/>
        <v>vis</v>
      </c>
      <c r="E22" s="58">
        <f>VLOOKUP(C22,Active!C$21:E$971,3,FALSE)</f>
        <v>2305.988863413027</v>
      </c>
      <c r="F22" s="21" t="s">
        <v>66</v>
      </c>
      <c r="G22" s="16" t="str">
        <f t="shared" si="4"/>
        <v>52835.4431</v>
      </c>
      <c r="H22" s="50">
        <f t="shared" si="5"/>
        <v>549</v>
      </c>
      <c r="I22" s="59" t="s">
        <v>122</v>
      </c>
      <c r="J22" s="60" t="s">
        <v>123</v>
      </c>
      <c r="K22" s="59">
        <v>549</v>
      </c>
      <c r="L22" s="59" t="s">
        <v>124</v>
      </c>
      <c r="M22" s="60" t="s">
        <v>70</v>
      </c>
      <c r="N22" s="60" t="s">
        <v>125</v>
      </c>
      <c r="O22" s="61" t="s">
        <v>126</v>
      </c>
      <c r="P22" s="62" t="s">
        <v>127</v>
      </c>
    </row>
    <row r="23" spans="1:16" ht="12.75" customHeight="1" thickBot="1" x14ac:dyDescent="0.25">
      <c r="A23" s="50" t="str">
        <f t="shared" si="0"/>
        <v>BAVM 172 </v>
      </c>
      <c r="B23" s="21" t="str">
        <f t="shared" si="1"/>
        <v>I</v>
      </c>
      <c r="C23" s="50">
        <f t="shared" si="2"/>
        <v>52846.434399999998</v>
      </c>
      <c r="D23" s="16" t="str">
        <f t="shared" si="3"/>
        <v>vis</v>
      </c>
      <c r="E23" s="58">
        <f>VLOOKUP(C23,Active!C$21:E$971,3,FALSE)</f>
        <v>2323.9896822797182</v>
      </c>
      <c r="F23" s="21" t="s">
        <v>66</v>
      </c>
      <c r="G23" s="16" t="str">
        <f t="shared" si="4"/>
        <v>52846.4344</v>
      </c>
      <c r="H23" s="50">
        <f t="shared" si="5"/>
        <v>567</v>
      </c>
      <c r="I23" s="59" t="s">
        <v>128</v>
      </c>
      <c r="J23" s="60" t="s">
        <v>129</v>
      </c>
      <c r="K23" s="59" t="s">
        <v>130</v>
      </c>
      <c r="L23" s="59" t="s">
        <v>131</v>
      </c>
      <c r="M23" s="60" t="s">
        <v>70</v>
      </c>
      <c r="N23" s="60" t="s">
        <v>125</v>
      </c>
      <c r="O23" s="61" t="s">
        <v>126</v>
      </c>
      <c r="P23" s="62" t="s">
        <v>127</v>
      </c>
    </row>
    <row r="24" spans="1:16" ht="12.75" customHeight="1" thickBot="1" x14ac:dyDescent="0.25">
      <c r="A24" s="50" t="str">
        <f t="shared" si="0"/>
        <v>BAVM 172 </v>
      </c>
      <c r="B24" s="21" t="str">
        <f t="shared" si="1"/>
        <v>I</v>
      </c>
      <c r="C24" s="50">
        <f t="shared" si="2"/>
        <v>52868.417300000001</v>
      </c>
      <c r="D24" s="16" t="str">
        <f t="shared" si="3"/>
        <v>vis</v>
      </c>
      <c r="E24" s="58">
        <f>VLOOKUP(C24,Active!C$21:E$971,3,FALSE)</f>
        <v>2359.9918113331128</v>
      </c>
      <c r="F24" s="21" t="s">
        <v>66</v>
      </c>
      <c r="G24" s="16" t="str">
        <f t="shared" si="4"/>
        <v>52868.4173</v>
      </c>
      <c r="H24" s="50">
        <f t="shared" si="5"/>
        <v>603</v>
      </c>
      <c r="I24" s="59" t="s">
        <v>132</v>
      </c>
      <c r="J24" s="60" t="s">
        <v>133</v>
      </c>
      <c r="K24" s="59" t="s">
        <v>134</v>
      </c>
      <c r="L24" s="59" t="s">
        <v>76</v>
      </c>
      <c r="M24" s="60" t="s">
        <v>70</v>
      </c>
      <c r="N24" s="60" t="s">
        <v>85</v>
      </c>
      <c r="O24" s="61" t="s">
        <v>135</v>
      </c>
      <c r="P24" s="62" t="s">
        <v>127</v>
      </c>
    </row>
    <row r="25" spans="1:16" ht="12.75" customHeight="1" thickBot="1" x14ac:dyDescent="0.25">
      <c r="A25" s="50" t="str">
        <f t="shared" si="0"/>
        <v>OEJV 0074 </v>
      </c>
      <c r="B25" s="21" t="str">
        <f t="shared" si="1"/>
        <v>I</v>
      </c>
      <c r="C25" s="50">
        <f t="shared" si="2"/>
        <v>52874.523399999998</v>
      </c>
      <c r="D25" s="16" t="str">
        <f t="shared" si="3"/>
        <v>vis</v>
      </c>
      <c r="E25" s="58">
        <f>VLOOKUP(C25,Active!C$21:E$971,3,FALSE)</f>
        <v>2369.9919751064458</v>
      </c>
      <c r="F25" s="21" t="s">
        <v>66</v>
      </c>
      <c r="G25" s="16" t="str">
        <f t="shared" si="4"/>
        <v>52874.52340</v>
      </c>
      <c r="H25" s="50">
        <f t="shared" si="5"/>
        <v>613</v>
      </c>
      <c r="I25" s="59" t="s">
        <v>136</v>
      </c>
      <c r="J25" s="60" t="s">
        <v>137</v>
      </c>
      <c r="K25" s="59" t="s">
        <v>138</v>
      </c>
      <c r="L25" s="59" t="s">
        <v>139</v>
      </c>
      <c r="M25" s="60" t="s">
        <v>84</v>
      </c>
      <c r="N25" s="60" t="s">
        <v>66</v>
      </c>
      <c r="O25" s="61" t="s">
        <v>140</v>
      </c>
      <c r="P25" s="62" t="s">
        <v>87</v>
      </c>
    </row>
    <row r="26" spans="1:16" ht="12.75" customHeight="1" thickBot="1" x14ac:dyDescent="0.25">
      <c r="A26" s="50" t="str">
        <f t="shared" si="0"/>
        <v> BBS 130 </v>
      </c>
      <c r="B26" s="21" t="str">
        <f t="shared" si="1"/>
        <v>II</v>
      </c>
      <c r="C26" s="50">
        <f t="shared" si="2"/>
        <v>52886.461000000003</v>
      </c>
      <c r="D26" s="16" t="str">
        <f t="shared" si="3"/>
        <v>vis</v>
      </c>
      <c r="E26" s="58">
        <f>VLOOKUP(C26,Active!C$21:E$971,3,FALSE)</f>
        <v>2389.542581067803</v>
      </c>
      <c r="F26" s="21" t="s">
        <v>66</v>
      </c>
      <c r="G26" s="16" t="str">
        <f t="shared" si="4"/>
        <v>52886.461</v>
      </c>
      <c r="H26" s="50">
        <f t="shared" si="5"/>
        <v>632.5</v>
      </c>
      <c r="I26" s="59" t="s">
        <v>141</v>
      </c>
      <c r="J26" s="60" t="s">
        <v>142</v>
      </c>
      <c r="K26" s="59" t="s">
        <v>143</v>
      </c>
      <c r="L26" s="59" t="s">
        <v>144</v>
      </c>
      <c r="M26" s="60" t="s">
        <v>94</v>
      </c>
      <c r="N26" s="60"/>
      <c r="O26" s="61" t="s">
        <v>117</v>
      </c>
      <c r="P26" s="61" t="s">
        <v>118</v>
      </c>
    </row>
    <row r="27" spans="1:16" ht="12.75" customHeight="1" thickBot="1" x14ac:dyDescent="0.25">
      <c r="A27" s="50" t="str">
        <f t="shared" si="0"/>
        <v>BAVM 173 </v>
      </c>
      <c r="B27" s="21" t="str">
        <f t="shared" si="1"/>
        <v>I</v>
      </c>
      <c r="C27" s="50">
        <f t="shared" si="2"/>
        <v>53258.587299999999</v>
      </c>
      <c r="D27" s="16" t="str">
        <f t="shared" si="3"/>
        <v>vis</v>
      </c>
      <c r="E27" s="58">
        <f>VLOOKUP(C27,Active!C$21:E$971,3,FALSE)</f>
        <v>2998.9862430396279</v>
      </c>
      <c r="F27" s="21" t="s">
        <v>66</v>
      </c>
      <c r="G27" s="16" t="str">
        <f t="shared" si="4"/>
        <v>53258.5873</v>
      </c>
      <c r="H27" s="50">
        <f t="shared" si="5"/>
        <v>1242</v>
      </c>
      <c r="I27" s="59" t="s">
        <v>145</v>
      </c>
      <c r="J27" s="60" t="s">
        <v>146</v>
      </c>
      <c r="K27" s="59" t="s">
        <v>147</v>
      </c>
      <c r="L27" s="59" t="s">
        <v>148</v>
      </c>
      <c r="M27" s="60" t="s">
        <v>70</v>
      </c>
      <c r="N27" s="60" t="s">
        <v>85</v>
      </c>
      <c r="O27" s="61" t="s">
        <v>126</v>
      </c>
      <c r="P27" s="62" t="s">
        <v>149</v>
      </c>
    </row>
    <row r="28" spans="1:16" ht="12.75" customHeight="1" thickBot="1" x14ac:dyDescent="0.25">
      <c r="A28" s="50" t="str">
        <f t="shared" si="0"/>
        <v>BAVM 178 </v>
      </c>
      <c r="B28" s="21" t="str">
        <f t="shared" si="1"/>
        <v>I</v>
      </c>
      <c r="C28" s="50">
        <f t="shared" si="2"/>
        <v>53655.475400000003</v>
      </c>
      <c r="D28" s="16" t="str">
        <f t="shared" si="3"/>
        <v>vis</v>
      </c>
      <c r="E28" s="58">
        <f>VLOOKUP(C28,Active!C$21:E$971,3,FALSE)</f>
        <v>3648.9831313462178</v>
      </c>
      <c r="F28" s="21" t="s">
        <v>66</v>
      </c>
      <c r="G28" s="16" t="str">
        <f t="shared" si="4"/>
        <v>53655.4754</v>
      </c>
      <c r="H28" s="50">
        <f t="shared" si="5"/>
        <v>1892</v>
      </c>
      <c r="I28" s="59" t="s">
        <v>150</v>
      </c>
      <c r="J28" s="60" t="s">
        <v>151</v>
      </c>
      <c r="K28" s="59" t="s">
        <v>152</v>
      </c>
      <c r="L28" s="59" t="s">
        <v>76</v>
      </c>
      <c r="M28" s="60" t="s">
        <v>84</v>
      </c>
      <c r="N28" s="60" t="s">
        <v>125</v>
      </c>
      <c r="O28" s="61" t="s">
        <v>153</v>
      </c>
      <c r="P28" s="62" t="s">
        <v>154</v>
      </c>
    </row>
    <row r="29" spans="1:16" ht="12.75" customHeight="1" thickBot="1" x14ac:dyDescent="0.25">
      <c r="A29" s="50" t="str">
        <f t="shared" si="0"/>
        <v>IBVS 5945 </v>
      </c>
      <c r="B29" s="21" t="str">
        <f t="shared" si="1"/>
        <v>I</v>
      </c>
      <c r="C29" s="50">
        <f t="shared" si="2"/>
        <v>55362.6996</v>
      </c>
      <c r="D29" s="16" t="str">
        <f t="shared" si="3"/>
        <v>vis</v>
      </c>
      <c r="E29" s="58">
        <f>VLOOKUP(C29,Active!C$21:E$971,3,FALSE)</f>
        <v>6444.9611857189602</v>
      </c>
      <c r="F29" s="21" t="s">
        <v>66</v>
      </c>
      <c r="G29" s="16" t="str">
        <f t="shared" si="4"/>
        <v>55362.6996</v>
      </c>
      <c r="H29" s="50">
        <f t="shared" si="5"/>
        <v>4688</v>
      </c>
      <c r="I29" s="59" t="s">
        <v>172</v>
      </c>
      <c r="J29" s="60" t="s">
        <v>173</v>
      </c>
      <c r="K29" s="59" t="s">
        <v>174</v>
      </c>
      <c r="L29" s="59" t="s">
        <v>124</v>
      </c>
      <c r="M29" s="60" t="s">
        <v>84</v>
      </c>
      <c r="N29" s="60" t="s">
        <v>66</v>
      </c>
      <c r="O29" s="61" t="s">
        <v>175</v>
      </c>
      <c r="P29" s="62" t="s">
        <v>176</v>
      </c>
    </row>
    <row r="30" spans="1:16" ht="12.75" customHeight="1" thickBot="1" x14ac:dyDescent="0.25">
      <c r="A30" s="50" t="str">
        <f t="shared" si="0"/>
        <v>OEJV 0160 </v>
      </c>
      <c r="B30" s="21" t="str">
        <f t="shared" si="1"/>
        <v>I</v>
      </c>
      <c r="C30" s="50">
        <f t="shared" si="2"/>
        <v>55728.446969999997</v>
      </c>
      <c r="D30" s="16" t="str">
        <f t="shared" si="3"/>
        <v>vis</v>
      </c>
      <c r="E30" s="58">
        <f>VLOOKUP(C30,Active!C$21:E$971,3,FALSE)</f>
        <v>7043.9578611202005</v>
      </c>
      <c r="F30" s="21" t="s">
        <v>66</v>
      </c>
      <c r="G30" s="16" t="str">
        <f t="shared" si="4"/>
        <v>55728.44697</v>
      </c>
      <c r="H30" s="50">
        <f t="shared" si="5"/>
        <v>5287</v>
      </c>
      <c r="I30" s="59" t="s">
        <v>177</v>
      </c>
      <c r="J30" s="60" t="s">
        <v>178</v>
      </c>
      <c r="K30" s="59" t="s">
        <v>179</v>
      </c>
      <c r="L30" s="59" t="s">
        <v>180</v>
      </c>
      <c r="M30" s="60" t="s">
        <v>84</v>
      </c>
      <c r="N30" s="60" t="s">
        <v>159</v>
      </c>
      <c r="O30" s="61" t="s">
        <v>181</v>
      </c>
      <c r="P30" s="62" t="s">
        <v>182</v>
      </c>
    </row>
    <row r="31" spans="1:16" ht="12.75" customHeight="1" thickBot="1" x14ac:dyDescent="0.25">
      <c r="A31" s="50" t="str">
        <f t="shared" si="0"/>
        <v>OEJV 0160 </v>
      </c>
      <c r="B31" s="21" t="str">
        <f t="shared" si="1"/>
        <v>I</v>
      </c>
      <c r="C31" s="50">
        <f t="shared" si="2"/>
        <v>55728.447370000002</v>
      </c>
      <c r="D31" s="16" t="str">
        <f t="shared" si="3"/>
        <v>vis</v>
      </c>
      <c r="E31" s="58">
        <f>VLOOKUP(C31,Active!C$21:E$971,3,FALSE)</f>
        <v>7043.9585162135591</v>
      </c>
      <c r="F31" s="21" t="s">
        <v>66</v>
      </c>
      <c r="G31" s="16" t="str">
        <f t="shared" si="4"/>
        <v>55728.44737</v>
      </c>
      <c r="H31" s="50">
        <f t="shared" si="5"/>
        <v>5287</v>
      </c>
      <c r="I31" s="59" t="s">
        <v>183</v>
      </c>
      <c r="J31" s="60" t="s">
        <v>184</v>
      </c>
      <c r="K31" s="59" t="s">
        <v>179</v>
      </c>
      <c r="L31" s="59" t="s">
        <v>185</v>
      </c>
      <c r="M31" s="60" t="s">
        <v>84</v>
      </c>
      <c r="N31" s="60" t="s">
        <v>24</v>
      </c>
      <c r="O31" s="61" t="s">
        <v>181</v>
      </c>
      <c r="P31" s="62" t="s">
        <v>182</v>
      </c>
    </row>
    <row r="32" spans="1:16" ht="12.75" customHeight="1" thickBot="1" x14ac:dyDescent="0.25">
      <c r="A32" s="50" t="str">
        <f t="shared" si="0"/>
        <v>OEJV 0160 </v>
      </c>
      <c r="B32" s="21" t="str">
        <f t="shared" si="1"/>
        <v>I</v>
      </c>
      <c r="C32" s="50">
        <f t="shared" si="2"/>
        <v>55728.447370000002</v>
      </c>
      <c r="D32" s="16" t="str">
        <f t="shared" si="3"/>
        <v>vis</v>
      </c>
      <c r="E32" s="58">
        <f>VLOOKUP(C32,Active!C$21:E$971,3,FALSE)</f>
        <v>7043.9585162135591</v>
      </c>
      <c r="F32" s="21" t="s">
        <v>66</v>
      </c>
      <c r="G32" s="16" t="str">
        <f t="shared" si="4"/>
        <v>55728.44737</v>
      </c>
      <c r="H32" s="50">
        <f t="shared" si="5"/>
        <v>5287</v>
      </c>
      <c r="I32" s="59" t="s">
        <v>183</v>
      </c>
      <c r="J32" s="60" t="s">
        <v>184</v>
      </c>
      <c r="K32" s="59" t="s">
        <v>179</v>
      </c>
      <c r="L32" s="59" t="s">
        <v>185</v>
      </c>
      <c r="M32" s="60" t="s">
        <v>84</v>
      </c>
      <c r="N32" s="60" t="s">
        <v>66</v>
      </c>
      <c r="O32" s="61" t="s">
        <v>181</v>
      </c>
      <c r="P32" s="62" t="s">
        <v>182</v>
      </c>
    </row>
    <row r="33" spans="1:16" ht="12.75" customHeight="1" thickBot="1" x14ac:dyDescent="0.25">
      <c r="A33" s="50" t="str">
        <f t="shared" si="0"/>
        <v>BAVM 228 </v>
      </c>
      <c r="B33" s="21" t="str">
        <f t="shared" si="1"/>
        <v>I</v>
      </c>
      <c r="C33" s="50">
        <f t="shared" si="2"/>
        <v>55836.525300000001</v>
      </c>
      <c r="D33" s="16" t="str">
        <f t="shared" si="3"/>
        <v>vis</v>
      </c>
      <c r="E33" s="58">
        <f>VLOOKUP(C33,Active!C$21:E$971,3,FALSE)</f>
        <v>7220.9613494923005</v>
      </c>
      <c r="F33" s="21" t="s">
        <v>66</v>
      </c>
      <c r="G33" s="16" t="str">
        <f t="shared" si="4"/>
        <v>55836.5253</v>
      </c>
      <c r="H33" s="50">
        <f t="shared" si="5"/>
        <v>5464</v>
      </c>
      <c r="I33" s="59" t="s">
        <v>186</v>
      </c>
      <c r="J33" s="60" t="s">
        <v>187</v>
      </c>
      <c r="K33" s="59" t="s">
        <v>188</v>
      </c>
      <c r="L33" s="59" t="s">
        <v>189</v>
      </c>
      <c r="M33" s="60" t="s">
        <v>84</v>
      </c>
      <c r="N33" s="60" t="s">
        <v>85</v>
      </c>
      <c r="O33" s="61" t="s">
        <v>135</v>
      </c>
      <c r="P33" s="62" t="s">
        <v>190</v>
      </c>
    </row>
    <row r="34" spans="1:16" ht="12.75" customHeight="1" thickBot="1" x14ac:dyDescent="0.25">
      <c r="A34" s="50" t="str">
        <f t="shared" si="0"/>
        <v>OEJV 0160 </v>
      </c>
      <c r="B34" s="21" t="str">
        <f t="shared" si="1"/>
        <v>I</v>
      </c>
      <c r="C34" s="50">
        <f t="shared" si="2"/>
        <v>56169.297189999997</v>
      </c>
      <c r="D34" s="16" t="str">
        <f t="shared" si="3"/>
        <v>vis</v>
      </c>
      <c r="E34" s="58">
        <f>VLOOKUP(C34,Active!C$21:E$971,3,FALSE)</f>
        <v>7765.9529806747378</v>
      </c>
      <c r="F34" s="21" t="s">
        <v>66</v>
      </c>
      <c r="G34" s="16" t="str">
        <f t="shared" si="4"/>
        <v>56169.29719</v>
      </c>
      <c r="H34" s="50">
        <f t="shared" si="5"/>
        <v>6009</v>
      </c>
      <c r="I34" s="59" t="s">
        <v>191</v>
      </c>
      <c r="J34" s="60" t="s">
        <v>192</v>
      </c>
      <c r="K34" s="59" t="s">
        <v>193</v>
      </c>
      <c r="L34" s="59" t="s">
        <v>194</v>
      </c>
      <c r="M34" s="60" t="s">
        <v>84</v>
      </c>
      <c r="N34" s="60" t="s">
        <v>159</v>
      </c>
      <c r="O34" s="61" t="s">
        <v>181</v>
      </c>
      <c r="P34" s="62" t="s">
        <v>182</v>
      </c>
    </row>
    <row r="35" spans="1:16" ht="12.75" customHeight="1" thickBot="1" x14ac:dyDescent="0.25">
      <c r="A35" s="50" t="str">
        <f t="shared" si="0"/>
        <v>OEJV 0160 </v>
      </c>
      <c r="B35" s="21" t="str">
        <f t="shared" si="1"/>
        <v>I</v>
      </c>
      <c r="C35" s="50">
        <f t="shared" si="2"/>
        <v>56169.297689999999</v>
      </c>
      <c r="D35" s="16" t="str">
        <f t="shared" si="3"/>
        <v>vis</v>
      </c>
      <c r="E35" s="58">
        <f>VLOOKUP(C35,Active!C$21:E$971,3,FALSE)</f>
        <v>7765.9537995414294</v>
      </c>
      <c r="F35" s="21" t="s">
        <v>66</v>
      </c>
      <c r="G35" s="16" t="str">
        <f t="shared" si="4"/>
        <v>56169.29769</v>
      </c>
      <c r="H35" s="50">
        <f t="shared" si="5"/>
        <v>6009</v>
      </c>
      <c r="I35" s="59" t="s">
        <v>195</v>
      </c>
      <c r="J35" s="60" t="s">
        <v>196</v>
      </c>
      <c r="K35" s="59" t="s">
        <v>193</v>
      </c>
      <c r="L35" s="59" t="s">
        <v>197</v>
      </c>
      <c r="M35" s="60" t="s">
        <v>84</v>
      </c>
      <c r="N35" s="60" t="s">
        <v>24</v>
      </c>
      <c r="O35" s="61" t="s">
        <v>181</v>
      </c>
      <c r="P35" s="62" t="s">
        <v>182</v>
      </c>
    </row>
    <row r="36" spans="1:16" ht="12.75" customHeight="1" thickBot="1" x14ac:dyDescent="0.25">
      <c r="A36" s="50" t="str">
        <f t="shared" si="0"/>
        <v>OEJV 0160 </v>
      </c>
      <c r="B36" s="21" t="str">
        <f t="shared" si="1"/>
        <v>I</v>
      </c>
      <c r="C36" s="50">
        <f t="shared" si="2"/>
        <v>56181.508930000004</v>
      </c>
      <c r="D36" s="16" t="str">
        <f t="shared" si="3"/>
        <v>vis</v>
      </c>
      <c r="E36" s="58">
        <f>VLOOKUP(C36,Active!C$21:E$971,3,FALSE)</f>
        <v>7785.9525548640695</v>
      </c>
      <c r="F36" s="21" t="s">
        <v>66</v>
      </c>
      <c r="G36" s="16" t="str">
        <f t="shared" si="4"/>
        <v>56181.50893</v>
      </c>
      <c r="H36" s="50">
        <f t="shared" si="5"/>
        <v>6029</v>
      </c>
      <c r="I36" s="59" t="s">
        <v>198</v>
      </c>
      <c r="J36" s="60" t="s">
        <v>199</v>
      </c>
      <c r="K36" s="59" t="s">
        <v>200</v>
      </c>
      <c r="L36" s="59" t="s">
        <v>201</v>
      </c>
      <c r="M36" s="60" t="s">
        <v>84</v>
      </c>
      <c r="N36" s="60" t="s">
        <v>24</v>
      </c>
      <c r="O36" s="61" t="s">
        <v>181</v>
      </c>
      <c r="P36" s="62" t="s">
        <v>182</v>
      </c>
    </row>
    <row r="37" spans="1:16" ht="12.75" customHeight="1" thickBot="1" x14ac:dyDescent="0.25">
      <c r="A37" s="50" t="str">
        <f t="shared" si="0"/>
        <v>OEJV 0160 </v>
      </c>
      <c r="B37" s="21" t="str">
        <f t="shared" si="1"/>
        <v>I</v>
      </c>
      <c r="C37" s="50">
        <f t="shared" si="2"/>
        <v>56181.509129999999</v>
      </c>
      <c r="D37" s="16" t="str">
        <f t="shared" si="3"/>
        <v>vis</v>
      </c>
      <c r="E37" s="58">
        <f>VLOOKUP(C37,Active!C$21:E$971,3,FALSE)</f>
        <v>7785.9528824107365</v>
      </c>
      <c r="F37" s="21" t="s">
        <v>66</v>
      </c>
      <c r="G37" s="16" t="str">
        <f t="shared" si="4"/>
        <v>56181.50913</v>
      </c>
      <c r="H37" s="50">
        <f t="shared" si="5"/>
        <v>6029</v>
      </c>
      <c r="I37" s="59" t="s">
        <v>202</v>
      </c>
      <c r="J37" s="60" t="s">
        <v>203</v>
      </c>
      <c r="K37" s="59" t="s">
        <v>200</v>
      </c>
      <c r="L37" s="59" t="s">
        <v>180</v>
      </c>
      <c r="M37" s="60" t="s">
        <v>84</v>
      </c>
      <c r="N37" s="60" t="s">
        <v>159</v>
      </c>
      <c r="O37" s="61" t="s">
        <v>181</v>
      </c>
      <c r="P37" s="62" t="s">
        <v>182</v>
      </c>
    </row>
    <row r="38" spans="1:16" ht="12.75" customHeight="1" thickBot="1" x14ac:dyDescent="0.25">
      <c r="A38" s="50" t="str">
        <f t="shared" si="0"/>
        <v>OEJV 0160 </v>
      </c>
      <c r="B38" s="21" t="str">
        <f t="shared" si="1"/>
        <v>I</v>
      </c>
      <c r="C38" s="50">
        <f t="shared" si="2"/>
        <v>56520.390140000003</v>
      </c>
      <c r="D38" s="16" t="str">
        <f t="shared" si="3"/>
        <v>vis</v>
      </c>
      <c r="E38" s="58">
        <f>VLOOKUP(C38,Active!C$21:E$971,3,FALSE)</f>
        <v>8340.9496233213249</v>
      </c>
      <c r="F38" s="21" t="s">
        <v>66</v>
      </c>
      <c r="G38" s="16" t="str">
        <f t="shared" si="4"/>
        <v>56520.39014</v>
      </c>
      <c r="H38" s="50">
        <f t="shared" si="5"/>
        <v>6584</v>
      </c>
      <c r="I38" s="59" t="s">
        <v>204</v>
      </c>
      <c r="J38" s="60" t="s">
        <v>205</v>
      </c>
      <c r="K38" s="59" t="s">
        <v>206</v>
      </c>
      <c r="L38" s="59" t="s">
        <v>207</v>
      </c>
      <c r="M38" s="60" t="s">
        <v>84</v>
      </c>
      <c r="N38" s="60" t="s">
        <v>66</v>
      </c>
      <c r="O38" s="61" t="s">
        <v>181</v>
      </c>
      <c r="P38" s="62" t="s">
        <v>182</v>
      </c>
    </row>
    <row r="39" spans="1:16" ht="12.75" customHeight="1" thickBot="1" x14ac:dyDescent="0.25">
      <c r="A39" s="50" t="str">
        <f t="shared" si="0"/>
        <v>OEJV 0160 </v>
      </c>
      <c r="B39" s="21" t="str">
        <f t="shared" si="1"/>
        <v>I</v>
      </c>
      <c r="C39" s="50">
        <f t="shared" si="2"/>
        <v>56520.390180000002</v>
      </c>
      <c r="D39" s="16" t="str">
        <f t="shared" si="3"/>
        <v>vis</v>
      </c>
      <c r="E39" s="58">
        <f>VLOOKUP(C39,Active!C$21:E$971,3,FALSE)</f>
        <v>8340.9496888306567</v>
      </c>
      <c r="F39" s="21" t="s">
        <v>66</v>
      </c>
      <c r="G39" s="16" t="str">
        <f t="shared" si="4"/>
        <v>56520.39018</v>
      </c>
      <c r="H39" s="50">
        <f t="shared" si="5"/>
        <v>6584</v>
      </c>
      <c r="I39" s="59" t="s">
        <v>208</v>
      </c>
      <c r="J39" s="60" t="s">
        <v>205</v>
      </c>
      <c r="K39" s="59" t="s">
        <v>206</v>
      </c>
      <c r="L39" s="59" t="s">
        <v>209</v>
      </c>
      <c r="M39" s="60" t="s">
        <v>84</v>
      </c>
      <c r="N39" s="60" t="s">
        <v>159</v>
      </c>
      <c r="O39" s="61" t="s">
        <v>181</v>
      </c>
      <c r="P39" s="62" t="s">
        <v>182</v>
      </c>
    </row>
    <row r="40" spans="1:16" ht="12.75" customHeight="1" thickBot="1" x14ac:dyDescent="0.25">
      <c r="A40" s="50" t="str">
        <f t="shared" si="0"/>
        <v>IBVS 4819/5263 </v>
      </c>
      <c r="B40" s="21" t="str">
        <f t="shared" si="1"/>
        <v>I</v>
      </c>
      <c r="C40" s="50">
        <f t="shared" si="2"/>
        <v>51449.388700000003</v>
      </c>
      <c r="D40" s="16" t="str">
        <f t="shared" si="3"/>
        <v>vis</v>
      </c>
      <c r="E40" s="58">
        <f>VLOOKUP(C40,Active!C$21:E$971,3,FALSE)</f>
        <v>36.001310186702881</v>
      </c>
      <c r="F40" s="21" t="s">
        <v>66</v>
      </c>
      <c r="G40" s="16" t="str">
        <f t="shared" si="4"/>
        <v>51449.3887</v>
      </c>
      <c r="H40" s="50">
        <f t="shared" si="5"/>
        <v>-1721</v>
      </c>
      <c r="I40" s="59" t="s">
        <v>78</v>
      </c>
      <c r="J40" s="60" t="s">
        <v>79</v>
      </c>
      <c r="K40" s="59">
        <v>-1721</v>
      </c>
      <c r="L40" s="59" t="s">
        <v>80</v>
      </c>
      <c r="M40" s="60" t="s">
        <v>70</v>
      </c>
      <c r="N40" s="60" t="s">
        <v>71</v>
      </c>
      <c r="O40" s="61" t="s">
        <v>72</v>
      </c>
      <c r="P40" s="62" t="s">
        <v>73</v>
      </c>
    </row>
    <row r="41" spans="1:16" ht="12.75" customHeight="1" thickBot="1" x14ac:dyDescent="0.25">
      <c r="A41" s="50" t="str">
        <f t="shared" si="0"/>
        <v>OEJV 0074 </v>
      </c>
      <c r="B41" s="21" t="str">
        <f t="shared" si="1"/>
        <v>I</v>
      </c>
      <c r="C41" s="50">
        <f t="shared" si="2"/>
        <v>51731.489000000001</v>
      </c>
      <c r="D41" s="16" t="str">
        <f t="shared" si="3"/>
        <v>vis</v>
      </c>
      <c r="E41" s="58" t="e">
        <f>VLOOKUP(C41,Active!C$21:E$971,3,FALSE)</f>
        <v>#N/A</v>
      </c>
      <c r="F41" s="21" t="s">
        <v>66</v>
      </c>
      <c r="G41" s="16" t="str">
        <f t="shared" si="4"/>
        <v>51731.489</v>
      </c>
      <c r="H41" s="50">
        <f t="shared" si="5"/>
        <v>-1259</v>
      </c>
      <c r="I41" s="59" t="s">
        <v>100</v>
      </c>
      <c r="J41" s="60" t="s">
        <v>101</v>
      </c>
      <c r="K41" s="59">
        <v>-1259</v>
      </c>
      <c r="L41" s="59" t="s">
        <v>102</v>
      </c>
      <c r="M41" s="60" t="s">
        <v>94</v>
      </c>
      <c r="N41" s="60"/>
      <c r="O41" s="61" t="s">
        <v>103</v>
      </c>
      <c r="P41" s="62" t="s">
        <v>87</v>
      </c>
    </row>
    <row r="42" spans="1:16" ht="12.75" customHeight="1" thickBot="1" x14ac:dyDescent="0.25">
      <c r="A42" s="50" t="str">
        <f t="shared" si="0"/>
        <v>OEJV 0107 </v>
      </c>
      <c r="B42" s="21" t="str">
        <f t="shared" si="1"/>
        <v>I</v>
      </c>
      <c r="C42" s="50">
        <f t="shared" si="2"/>
        <v>54027.327400000002</v>
      </c>
      <c r="D42" s="16" t="str">
        <f t="shared" si="3"/>
        <v>vis</v>
      </c>
      <c r="E42" s="58" t="e">
        <f>VLOOKUP(C42,Active!C$21:E$971,3,FALSE)</f>
        <v>#N/A</v>
      </c>
      <c r="F42" s="21" t="s">
        <v>66</v>
      </c>
      <c r="G42" s="16" t="str">
        <f t="shared" si="4"/>
        <v>54027.3274</v>
      </c>
      <c r="H42" s="50">
        <f t="shared" si="5"/>
        <v>2501</v>
      </c>
      <c r="I42" s="59" t="s">
        <v>155</v>
      </c>
      <c r="J42" s="60" t="s">
        <v>156</v>
      </c>
      <c r="K42" s="59" t="s">
        <v>157</v>
      </c>
      <c r="L42" s="59" t="s">
        <v>158</v>
      </c>
      <c r="M42" s="60" t="s">
        <v>84</v>
      </c>
      <c r="N42" s="60" t="s">
        <v>159</v>
      </c>
      <c r="O42" s="61" t="s">
        <v>160</v>
      </c>
      <c r="P42" s="62" t="s">
        <v>161</v>
      </c>
    </row>
    <row r="43" spans="1:16" ht="12.75" customHeight="1" thickBot="1" x14ac:dyDescent="0.25">
      <c r="A43" s="50" t="str">
        <f t="shared" si="0"/>
        <v>BAVM 212 </v>
      </c>
      <c r="B43" s="21" t="str">
        <f t="shared" si="1"/>
        <v>I</v>
      </c>
      <c r="C43" s="50">
        <f t="shared" si="2"/>
        <v>55082.436300000001</v>
      </c>
      <c r="D43" s="16" t="str">
        <f t="shared" si="3"/>
        <v>vis</v>
      </c>
      <c r="E43" s="58">
        <f>VLOOKUP(C43,Active!C$21:E$971,3,FALSE)</f>
        <v>5985.9646249590542</v>
      </c>
      <c r="F43" s="21" t="s">
        <v>66</v>
      </c>
      <c r="G43" s="16" t="str">
        <f t="shared" si="4"/>
        <v>55082.4363</v>
      </c>
      <c r="H43" s="50">
        <f t="shared" si="5"/>
        <v>4229</v>
      </c>
      <c r="I43" s="59" t="s">
        <v>162</v>
      </c>
      <c r="J43" s="60" t="s">
        <v>163</v>
      </c>
      <c r="K43" s="59" t="s">
        <v>164</v>
      </c>
      <c r="L43" s="59" t="s">
        <v>165</v>
      </c>
      <c r="M43" s="60" t="s">
        <v>84</v>
      </c>
      <c r="N43" s="60" t="s">
        <v>85</v>
      </c>
      <c r="O43" s="61" t="s">
        <v>166</v>
      </c>
      <c r="P43" s="62" t="s">
        <v>167</v>
      </c>
    </row>
    <row r="44" spans="1:16" ht="12.75" customHeight="1" thickBot="1" x14ac:dyDescent="0.25">
      <c r="A44" s="50" t="str">
        <f t="shared" si="0"/>
        <v>BAVM 212 </v>
      </c>
      <c r="B44" s="21" t="str">
        <f t="shared" si="1"/>
        <v>I</v>
      </c>
      <c r="C44" s="50">
        <f t="shared" si="2"/>
        <v>55098.311300000001</v>
      </c>
      <c r="D44" s="16" t="str">
        <f t="shared" si="3"/>
        <v>vis</v>
      </c>
      <c r="E44" s="58">
        <f>VLOOKUP(C44,Active!C$21:E$971,3,FALSE)</f>
        <v>6011.9636423190286</v>
      </c>
      <c r="F44" s="21" t="s">
        <v>66</v>
      </c>
      <c r="G44" s="16" t="str">
        <f t="shared" si="4"/>
        <v>55098.3113</v>
      </c>
      <c r="H44" s="50">
        <f t="shared" si="5"/>
        <v>4255</v>
      </c>
      <c r="I44" s="59" t="s">
        <v>168</v>
      </c>
      <c r="J44" s="60" t="s">
        <v>169</v>
      </c>
      <c r="K44" s="59" t="s">
        <v>170</v>
      </c>
      <c r="L44" s="59" t="s">
        <v>171</v>
      </c>
      <c r="M44" s="60" t="s">
        <v>84</v>
      </c>
      <c r="N44" s="60" t="s">
        <v>85</v>
      </c>
      <c r="O44" s="61" t="s">
        <v>166</v>
      </c>
      <c r="P44" s="62" t="s">
        <v>167</v>
      </c>
    </row>
    <row r="45" spans="1:16" x14ac:dyDescent="0.2">
      <c r="B45" s="21"/>
      <c r="F45" s="21"/>
    </row>
    <row r="46" spans="1:16" x14ac:dyDescent="0.2">
      <c r="B46" s="21"/>
      <c r="F46" s="21"/>
    </row>
    <row r="47" spans="1:16" x14ac:dyDescent="0.2">
      <c r="B47" s="21"/>
      <c r="F47" s="21"/>
    </row>
    <row r="48" spans="1:16" x14ac:dyDescent="0.2">
      <c r="B48" s="21"/>
      <c r="F48" s="21"/>
    </row>
    <row r="49" spans="2:6" x14ac:dyDescent="0.2">
      <c r="B49" s="21"/>
      <c r="F49" s="21"/>
    </row>
    <row r="50" spans="2:6" x14ac:dyDescent="0.2">
      <c r="B50" s="21"/>
      <c r="F50" s="21"/>
    </row>
    <row r="51" spans="2:6" x14ac:dyDescent="0.2">
      <c r="B51" s="21"/>
      <c r="F51" s="21"/>
    </row>
    <row r="52" spans="2:6" x14ac:dyDescent="0.2">
      <c r="B52" s="21"/>
      <c r="F52" s="21"/>
    </row>
    <row r="53" spans="2:6" x14ac:dyDescent="0.2">
      <c r="B53" s="21"/>
      <c r="F53" s="21"/>
    </row>
    <row r="54" spans="2:6" x14ac:dyDescent="0.2">
      <c r="B54" s="21"/>
      <c r="F54" s="21"/>
    </row>
    <row r="55" spans="2:6" x14ac:dyDescent="0.2">
      <c r="B55" s="21"/>
      <c r="F55" s="21"/>
    </row>
    <row r="56" spans="2:6" x14ac:dyDescent="0.2">
      <c r="B56" s="21"/>
      <c r="F56" s="21"/>
    </row>
    <row r="57" spans="2:6" x14ac:dyDescent="0.2">
      <c r="B57" s="21"/>
      <c r="F57" s="21"/>
    </row>
    <row r="58" spans="2:6" x14ac:dyDescent="0.2">
      <c r="B58" s="21"/>
      <c r="F58" s="21"/>
    </row>
    <row r="59" spans="2:6" x14ac:dyDescent="0.2">
      <c r="B59" s="21"/>
      <c r="F59" s="21"/>
    </row>
    <row r="60" spans="2:6" x14ac:dyDescent="0.2">
      <c r="B60" s="21"/>
      <c r="F60" s="21"/>
    </row>
    <row r="61" spans="2:6" x14ac:dyDescent="0.2">
      <c r="B61" s="21"/>
      <c r="F61" s="21"/>
    </row>
    <row r="62" spans="2:6" x14ac:dyDescent="0.2">
      <c r="B62" s="21"/>
      <c r="F62" s="21"/>
    </row>
    <row r="63" spans="2:6" x14ac:dyDescent="0.2">
      <c r="B63" s="21"/>
      <c r="F63" s="21"/>
    </row>
    <row r="64" spans="2:6" x14ac:dyDescent="0.2">
      <c r="B64" s="21"/>
      <c r="F64" s="21"/>
    </row>
    <row r="65" spans="2:6" x14ac:dyDescent="0.2">
      <c r="B65" s="21"/>
      <c r="F65" s="21"/>
    </row>
    <row r="66" spans="2:6" x14ac:dyDescent="0.2">
      <c r="B66" s="21"/>
      <c r="F66" s="21"/>
    </row>
    <row r="67" spans="2:6" x14ac:dyDescent="0.2">
      <c r="B67" s="21"/>
      <c r="F67" s="21"/>
    </row>
    <row r="68" spans="2:6" x14ac:dyDescent="0.2">
      <c r="B68" s="21"/>
      <c r="F68" s="21"/>
    </row>
    <row r="69" spans="2:6" x14ac:dyDescent="0.2">
      <c r="B69" s="21"/>
      <c r="F69" s="21"/>
    </row>
    <row r="70" spans="2:6" x14ac:dyDescent="0.2">
      <c r="B70" s="21"/>
      <c r="F70" s="21"/>
    </row>
    <row r="71" spans="2:6" x14ac:dyDescent="0.2">
      <c r="B71" s="21"/>
      <c r="F71" s="21"/>
    </row>
    <row r="72" spans="2:6" x14ac:dyDescent="0.2">
      <c r="B72" s="21"/>
      <c r="F72" s="21"/>
    </row>
    <row r="73" spans="2:6" x14ac:dyDescent="0.2">
      <c r="B73" s="21"/>
      <c r="F73" s="21"/>
    </row>
    <row r="74" spans="2:6" x14ac:dyDescent="0.2">
      <c r="B74" s="21"/>
      <c r="F74" s="21"/>
    </row>
    <row r="75" spans="2:6" x14ac:dyDescent="0.2">
      <c r="B75" s="21"/>
      <c r="F75" s="21"/>
    </row>
    <row r="76" spans="2:6" x14ac:dyDescent="0.2">
      <c r="B76" s="21"/>
      <c r="F76" s="21"/>
    </row>
    <row r="77" spans="2:6" x14ac:dyDescent="0.2">
      <c r="B77" s="21"/>
      <c r="F77" s="21"/>
    </row>
    <row r="78" spans="2:6" x14ac:dyDescent="0.2">
      <c r="B78" s="21"/>
      <c r="F78" s="21"/>
    </row>
    <row r="79" spans="2:6" x14ac:dyDescent="0.2">
      <c r="B79" s="21"/>
      <c r="F79" s="21"/>
    </row>
    <row r="80" spans="2:6" x14ac:dyDescent="0.2">
      <c r="B80" s="21"/>
      <c r="F80" s="21"/>
    </row>
    <row r="81" spans="2:6" x14ac:dyDescent="0.2">
      <c r="B81" s="21"/>
      <c r="F81" s="21"/>
    </row>
    <row r="82" spans="2:6" x14ac:dyDescent="0.2">
      <c r="B82" s="21"/>
      <c r="F82" s="21"/>
    </row>
    <row r="83" spans="2:6" x14ac:dyDescent="0.2">
      <c r="B83" s="21"/>
      <c r="F83" s="21"/>
    </row>
    <row r="84" spans="2:6" x14ac:dyDescent="0.2">
      <c r="B84" s="21"/>
      <c r="F84" s="21"/>
    </row>
    <row r="85" spans="2:6" x14ac:dyDescent="0.2">
      <c r="B85" s="21"/>
      <c r="F85" s="21"/>
    </row>
    <row r="86" spans="2:6" x14ac:dyDescent="0.2">
      <c r="B86" s="21"/>
      <c r="F86" s="21"/>
    </row>
    <row r="87" spans="2:6" x14ac:dyDescent="0.2">
      <c r="B87" s="21"/>
      <c r="F87" s="21"/>
    </row>
    <row r="88" spans="2:6" x14ac:dyDescent="0.2">
      <c r="B88" s="21"/>
      <c r="F88" s="21"/>
    </row>
    <row r="89" spans="2:6" x14ac:dyDescent="0.2">
      <c r="B89" s="21"/>
      <c r="F89" s="21"/>
    </row>
    <row r="90" spans="2:6" x14ac:dyDescent="0.2">
      <c r="B90" s="21"/>
      <c r="F90" s="21"/>
    </row>
    <row r="91" spans="2:6" x14ac:dyDescent="0.2">
      <c r="B91" s="21"/>
      <c r="F91" s="21"/>
    </row>
    <row r="92" spans="2:6" x14ac:dyDescent="0.2">
      <c r="B92" s="21"/>
      <c r="F92" s="21"/>
    </row>
    <row r="93" spans="2:6" x14ac:dyDescent="0.2">
      <c r="B93" s="21"/>
      <c r="F93" s="21"/>
    </row>
    <row r="94" spans="2:6" x14ac:dyDescent="0.2">
      <c r="B94" s="21"/>
      <c r="F94" s="21"/>
    </row>
    <row r="95" spans="2:6" x14ac:dyDescent="0.2">
      <c r="B95" s="21"/>
      <c r="F95" s="21"/>
    </row>
    <row r="96" spans="2:6" x14ac:dyDescent="0.2">
      <c r="B96" s="21"/>
      <c r="F96" s="21"/>
    </row>
    <row r="97" spans="2:6" x14ac:dyDescent="0.2">
      <c r="B97" s="21"/>
      <c r="F97" s="21"/>
    </row>
    <row r="98" spans="2:6" x14ac:dyDescent="0.2">
      <c r="B98" s="21"/>
      <c r="F98" s="21"/>
    </row>
    <row r="99" spans="2:6" x14ac:dyDescent="0.2">
      <c r="B99" s="21"/>
      <c r="F99" s="21"/>
    </row>
    <row r="100" spans="2:6" x14ac:dyDescent="0.2">
      <c r="B100" s="21"/>
      <c r="F100" s="21"/>
    </row>
    <row r="101" spans="2:6" x14ac:dyDescent="0.2">
      <c r="B101" s="21"/>
      <c r="F101" s="21"/>
    </row>
    <row r="102" spans="2:6" x14ac:dyDescent="0.2">
      <c r="B102" s="21"/>
      <c r="F102" s="21"/>
    </row>
    <row r="103" spans="2:6" x14ac:dyDescent="0.2">
      <c r="B103" s="21"/>
      <c r="F103" s="21"/>
    </row>
    <row r="104" spans="2:6" x14ac:dyDescent="0.2">
      <c r="B104" s="21"/>
      <c r="F104" s="21"/>
    </row>
    <row r="105" spans="2:6" x14ac:dyDescent="0.2">
      <c r="B105" s="21"/>
      <c r="F105" s="21"/>
    </row>
    <row r="106" spans="2:6" x14ac:dyDescent="0.2">
      <c r="B106" s="21"/>
      <c r="F106" s="21"/>
    </row>
    <row r="107" spans="2:6" x14ac:dyDescent="0.2">
      <c r="B107" s="21"/>
      <c r="F107" s="21"/>
    </row>
    <row r="108" spans="2:6" x14ac:dyDescent="0.2">
      <c r="B108" s="21"/>
      <c r="F108" s="21"/>
    </row>
    <row r="109" spans="2:6" x14ac:dyDescent="0.2">
      <c r="B109" s="21"/>
      <c r="F109" s="21"/>
    </row>
    <row r="110" spans="2:6" x14ac:dyDescent="0.2">
      <c r="B110" s="21"/>
      <c r="F110" s="21"/>
    </row>
    <row r="111" spans="2:6" x14ac:dyDescent="0.2">
      <c r="B111" s="21"/>
      <c r="F111" s="21"/>
    </row>
    <row r="112" spans="2:6" x14ac:dyDescent="0.2">
      <c r="B112" s="21"/>
      <c r="F112" s="21"/>
    </row>
    <row r="113" spans="2:6" x14ac:dyDescent="0.2">
      <c r="B113" s="21"/>
      <c r="F113" s="21"/>
    </row>
    <row r="114" spans="2:6" x14ac:dyDescent="0.2">
      <c r="B114" s="21"/>
      <c r="F114" s="21"/>
    </row>
    <row r="115" spans="2:6" x14ac:dyDescent="0.2">
      <c r="B115" s="21"/>
      <c r="F115" s="21"/>
    </row>
    <row r="116" spans="2:6" x14ac:dyDescent="0.2">
      <c r="B116" s="21"/>
      <c r="F116" s="21"/>
    </row>
    <row r="117" spans="2:6" x14ac:dyDescent="0.2">
      <c r="B117" s="21"/>
      <c r="F117" s="21"/>
    </row>
    <row r="118" spans="2:6" x14ac:dyDescent="0.2">
      <c r="B118" s="21"/>
      <c r="F118" s="21"/>
    </row>
    <row r="119" spans="2:6" x14ac:dyDescent="0.2">
      <c r="B119" s="2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</sheetData>
  <phoneticPr fontId="7" type="noConversion"/>
  <hyperlinks>
    <hyperlink ref="P11" r:id="rId1" display="http://www.konkoly.hu/cgi-bin/IBVS?4819"/>
    <hyperlink ref="P12" r:id="rId2" display="http://www.konkoly.hu/cgi-bin/IBVS?4819"/>
    <hyperlink ref="P40" r:id="rId3" display="http://www.konkoly.hu/cgi-bin/IBVS?4819"/>
    <hyperlink ref="P13" r:id="rId4" display="http://var.astro.cz/oejv/issues/oejv0074.pdf"/>
    <hyperlink ref="P14" r:id="rId5" display="http://var.astro.cz/oejv/issues/oejv0074.pdf"/>
    <hyperlink ref="P15" r:id="rId6" display="http://var.astro.cz/oejv/issues/oejv0074.pdf"/>
    <hyperlink ref="P16" r:id="rId7" display="http://var.astro.cz/oejv/issues/oejv0074.pdf"/>
    <hyperlink ref="P41" r:id="rId8" display="http://var.astro.cz/oejv/issues/oejv0074.pdf"/>
    <hyperlink ref="P17" r:id="rId9" display="http://var.astro.cz/oejv/issues/oejv0074.pdf"/>
    <hyperlink ref="P18" r:id="rId10" display="http://var.astro.cz/oejv/issues/oejv0074.pdf"/>
    <hyperlink ref="P19" r:id="rId11" display="http://www.konkoly.hu/cgi-bin/IBVS?5583"/>
    <hyperlink ref="P21" r:id="rId12" display="http://var.astro.cz/oejv/issues/oejv0074.pdf"/>
    <hyperlink ref="P22" r:id="rId13" display="http://www.bav-astro.de/sfs/BAVM_link.php?BAVMnr=172"/>
    <hyperlink ref="P23" r:id="rId14" display="http://www.bav-astro.de/sfs/BAVM_link.php?BAVMnr=172"/>
    <hyperlink ref="P24" r:id="rId15" display="http://www.bav-astro.de/sfs/BAVM_link.php?BAVMnr=172"/>
    <hyperlink ref="P25" r:id="rId16" display="http://var.astro.cz/oejv/issues/oejv0074.pdf"/>
    <hyperlink ref="P27" r:id="rId17" display="http://www.bav-astro.de/sfs/BAVM_link.php?BAVMnr=173"/>
    <hyperlink ref="P28" r:id="rId18" display="http://www.bav-astro.de/sfs/BAVM_link.php?BAVMnr=178"/>
    <hyperlink ref="P42" r:id="rId19" display="http://var.astro.cz/oejv/issues/oejv0107.pdf"/>
    <hyperlink ref="P43" r:id="rId20" display="http://www.bav-astro.de/sfs/BAVM_link.php?BAVMnr=212"/>
    <hyperlink ref="P44" r:id="rId21" display="http://www.bav-astro.de/sfs/BAVM_link.php?BAVMnr=212"/>
    <hyperlink ref="P29" r:id="rId22" display="http://www.konkoly.hu/cgi-bin/IBVS?5945"/>
    <hyperlink ref="P30" r:id="rId23" display="http://var.astro.cz/oejv/issues/oejv0160.pdf"/>
    <hyperlink ref="P31" r:id="rId24" display="http://var.astro.cz/oejv/issues/oejv0160.pdf"/>
    <hyperlink ref="P32" r:id="rId25" display="http://var.astro.cz/oejv/issues/oejv0160.pdf"/>
    <hyperlink ref="P33" r:id="rId26" display="http://www.bav-astro.de/sfs/BAVM_link.php?BAVMnr=228"/>
    <hyperlink ref="P34" r:id="rId27" display="http://var.astro.cz/oejv/issues/oejv0160.pdf"/>
    <hyperlink ref="P35" r:id="rId28" display="http://var.astro.cz/oejv/issues/oejv0160.pdf"/>
    <hyperlink ref="P36" r:id="rId29" display="http://var.astro.cz/oejv/issues/oejv0160.pdf"/>
    <hyperlink ref="P37" r:id="rId30" display="http://var.astro.cz/oejv/issues/oejv0160.pdf"/>
    <hyperlink ref="P38" r:id="rId31" display="http://var.astro.cz/oejv/issues/oejv0160.pdf"/>
    <hyperlink ref="P39" r:id="rId3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2023-01-13T05:10:35Z</dcterms:modified>
</cp:coreProperties>
</file>