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42EFEA6-5AD8-420A-ADDC-203C24830002}" xr6:coauthVersionLast="47" xr6:coauthVersionMax="47" xr10:uidLastSave="{00000000-0000-0000-0000-000000000000}"/>
  <bookViews>
    <workbookView xWindow="14370" yWindow="780" windowWidth="12975" windowHeight="14640" xr2:uid="{00000000-000D-0000-FFFF-FFFF00000000}"/>
  </bookViews>
  <sheets>
    <sheet name="Active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4" i="2"/>
  <c r="F34" i="2" s="1"/>
  <c r="G34" i="2" s="1"/>
  <c r="K34" i="2" s="1"/>
  <c r="Q34" i="2"/>
  <c r="Q33" i="1"/>
  <c r="Q33" i="2"/>
  <c r="Q35" i="2"/>
  <c r="Q35" i="1"/>
  <c r="C7" i="2"/>
  <c r="E33" i="2" s="1"/>
  <c r="F33" i="2" s="1"/>
  <c r="G33" i="2" s="1"/>
  <c r="K33" i="2" s="1"/>
  <c r="C8" i="2"/>
  <c r="D8" i="2"/>
  <c r="C9" i="2"/>
  <c r="D9" i="2"/>
  <c r="F16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E31" i="1"/>
  <c r="F31" i="1" s="1"/>
  <c r="G31" i="1" s="1"/>
  <c r="K31" i="1" s="1"/>
  <c r="E23" i="1"/>
  <c r="F23" i="1" s="1"/>
  <c r="G23" i="1" s="1"/>
  <c r="K23" i="1" s="1"/>
  <c r="E24" i="1"/>
  <c r="F24" i="1" s="1"/>
  <c r="E26" i="1"/>
  <c r="F26" i="1"/>
  <c r="G26" i="1" s="1"/>
  <c r="K26" i="1" s="1"/>
  <c r="E32" i="1"/>
  <c r="F32" i="1" s="1"/>
  <c r="G32" i="1" s="1"/>
  <c r="K32" i="1" s="1"/>
  <c r="E22" i="1"/>
  <c r="F22" i="1" s="1"/>
  <c r="U22" i="1" s="1"/>
  <c r="Q30" i="1"/>
  <c r="Q31" i="1"/>
  <c r="Q32" i="1"/>
  <c r="C7" i="1"/>
  <c r="E33" i="1" s="1"/>
  <c r="F33" i="1" s="1"/>
  <c r="G33" i="1" s="1"/>
  <c r="K33" i="1" s="1"/>
  <c r="D9" i="1"/>
  <c r="C9" i="1"/>
  <c r="Q24" i="1"/>
  <c r="Q25" i="1"/>
  <c r="Q28" i="1"/>
  <c r="Q26" i="1"/>
  <c r="Q27" i="1"/>
  <c r="Q29" i="1"/>
  <c r="Q22" i="1"/>
  <c r="Q23" i="1"/>
  <c r="E21" i="1"/>
  <c r="F21" i="1"/>
  <c r="G21" i="1" s="1"/>
  <c r="I21" i="1" s="1"/>
  <c r="D8" i="1"/>
  <c r="F16" i="1"/>
  <c r="C17" i="1"/>
  <c r="Q21" i="1"/>
  <c r="E35" i="1"/>
  <c r="F35" i="1" s="1"/>
  <c r="G35" i="1" s="1"/>
  <c r="K35" i="1" s="1"/>
  <c r="E29" i="1"/>
  <c r="F29" i="1" s="1"/>
  <c r="G29" i="1" s="1"/>
  <c r="K29" i="1" s="1"/>
  <c r="E25" i="1" l="1"/>
  <c r="F25" i="1" s="1"/>
  <c r="G25" i="1" s="1"/>
  <c r="K25" i="1" s="1"/>
  <c r="F17" i="1"/>
  <c r="E28" i="1"/>
  <c r="F28" i="1" s="1"/>
  <c r="G28" i="1" s="1"/>
  <c r="K28" i="1" s="1"/>
  <c r="G24" i="1"/>
  <c r="E27" i="1"/>
  <c r="F27" i="1" s="1"/>
  <c r="G27" i="1" s="1"/>
  <c r="K27" i="1" s="1"/>
  <c r="E30" i="1"/>
  <c r="F30" i="1" s="1"/>
  <c r="G30" i="1" s="1"/>
  <c r="K30" i="1" s="1"/>
  <c r="E24" i="2"/>
  <c r="F24" i="2" s="1"/>
  <c r="G24" i="2" s="1"/>
  <c r="K24" i="2" s="1"/>
  <c r="E32" i="2"/>
  <c r="F32" i="2" s="1"/>
  <c r="G32" i="2" s="1"/>
  <c r="K32" i="2" s="1"/>
  <c r="E29" i="2"/>
  <c r="F29" i="2" s="1"/>
  <c r="G29" i="2" s="1"/>
  <c r="K29" i="2" s="1"/>
  <c r="E26" i="2"/>
  <c r="F26" i="2" s="1"/>
  <c r="G26" i="2" s="1"/>
  <c r="K26" i="2" s="1"/>
  <c r="F17" i="2"/>
  <c r="G35" i="2"/>
  <c r="K35" i="2" s="1"/>
  <c r="E28" i="2"/>
  <c r="F28" i="2" s="1"/>
  <c r="G28" i="2" s="1"/>
  <c r="K28" i="2" s="1"/>
  <c r="E23" i="2"/>
  <c r="F23" i="2" s="1"/>
  <c r="G23" i="2" s="1"/>
  <c r="K23" i="2" s="1"/>
  <c r="E35" i="2"/>
  <c r="F35" i="2" s="1"/>
  <c r="E21" i="2"/>
  <c r="F21" i="2" s="1"/>
  <c r="G21" i="2" s="1"/>
  <c r="I21" i="2" s="1"/>
  <c r="E31" i="2"/>
  <c r="F31" i="2" s="1"/>
  <c r="G31" i="2" s="1"/>
  <c r="K31" i="2" s="1"/>
  <c r="E30" i="2"/>
  <c r="F30" i="2" s="1"/>
  <c r="G30" i="2" s="1"/>
  <c r="K30" i="2" s="1"/>
  <c r="E27" i="2"/>
  <c r="F27" i="2" s="1"/>
  <c r="G27" i="2" s="1"/>
  <c r="K27" i="2" s="1"/>
  <c r="E25" i="2"/>
  <c r="F25" i="2" s="1"/>
  <c r="G25" i="2" s="1"/>
  <c r="K25" i="2" s="1"/>
  <c r="E22" i="2"/>
  <c r="F22" i="2" s="1"/>
  <c r="C11" i="2"/>
  <c r="C12" i="2"/>
  <c r="C12" i="1"/>
  <c r="C11" i="1"/>
  <c r="O34" i="1" l="1"/>
  <c r="O34" i="2"/>
  <c r="C16" i="1"/>
  <c r="D18" i="1" s="1"/>
  <c r="O33" i="1"/>
  <c r="O35" i="1"/>
  <c r="C15" i="1"/>
  <c r="C18" i="1" s="1"/>
  <c r="O26" i="1"/>
  <c r="O25" i="1"/>
  <c r="O23" i="1"/>
  <c r="O24" i="1"/>
  <c r="O31" i="1"/>
  <c r="O27" i="1"/>
  <c r="O21" i="1"/>
  <c r="O22" i="1"/>
  <c r="O30" i="1"/>
  <c r="O28" i="1"/>
  <c r="O32" i="1"/>
  <c r="O29" i="1"/>
  <c r="K24" i="1"/>
  <c r="C16" i="2"/>
  <c r="D18" i="2" s="1"/>
  <c r="O27" i="2"/>
  <c r="O33" i="2"/>
  <c r="O31" i="2"/>
  <c r="O30" i="2"/>
  <c r="O21" i="2"/>
  <c r="C15" i="2"/>
  <c r="O26" i="2"/>
  <c r="O23" i="2"/>
  <c r="O28" i="2"/>
  <c r="O32" i="2"/>
  <c r="O25" i="2"/>
  <c r="O22" i="2"/>
  <c r="O29" i="2"/>
  <c r="O35" i="2"/>
  <c r="O24" i="2"/>
  <c r="U22" i="2"/>
  <c r="F18" i="1" l="1"/>
  <c r="F19" i="1" s="1"/>
  <c r="F18" i="2"/>
  <c r="F19" i="2" s="1"/>
  <c r="C18" i="2"/>
</calcChain>
</file>

<file path=xl/sharedStrings.xml><?xml version="1.0" encoding="utf-8"?>
<sst xmlns="http://schemas.openxmlformats.org/spreadsheetml/2006/main" count="154" uniqueCount="56">
  <si>
    <t>IBVS 6244</t>
  </si>
  <si>
    <t>BAD?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</si>
  <si>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</si>
  <si>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</si>
  <si>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</si>
  <si>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</si>
  <si>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</si>
  <si>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</si>
  <si>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</si>
  <si>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</si>
  <si>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</si>
  <si>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</si>
  <si>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</si>
  <si>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</si>
  <si>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</si>
  <si>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</si>
  <si>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</si>
  <si>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</si>
  <si>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</si>
  <si>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</si>
  <si>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</si>
  <si>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</si>
  <si>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</si>
  <si>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</si>
  <si>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</si>
  <si>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</si>
  <si>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</si>
  <si>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</si>
  <si>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</si>
  <si>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</si>
  <si>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</si>
  <si>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</si>
  <si>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</si>
  <si>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</si>
  <si>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</si>
  <si>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</si>
  <si>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</si>
  <si>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</si>
  <si>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</si>
  <si>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</si>
  <si>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</si>
  <si>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</si>
  <si>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</si>
  <si>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V0374 Dra</t>
  </si>
  <si>
    <t>2015L</t>
  </si>
  <si>
    <t>G3896-0146</t>
  </si>
  <si>
    <t>EW</t>
  </si>
  <si>
    <t>V0374 Dra / GSC 3896-0146</t>
  </si>
  <si>
    <t>GCVS</t>
  </si>
  <si>
    <t>OEJV 0168</t>
  </si>
  <si>
    <t>I</t>
  </si>
  <si>
    <t>OEJV 0179</t>
  </si>
  <si>
    <t>RHN 2018</t>
  </si>
  <si>
    <t>RHN 2021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</si>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</sst>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5" xfId="0" applyFont="1" applyBorder="1">
      <alignment vertical="top"/>
    </xf>
    <xf numFmtId="0" fontId="1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3" fillId="0" borderId="0" xfId="42" applyFont="1" applyAlignment="1">
      <alignment horizontal="left"/>
    </xf>
    <xf numFmtId="0" fontId="16" fillId="0" borderId="0" xfId="42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V374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8-442F-995D-32AF8F0C51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18-442F-995D-32AF8F0C51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18-442F-995D-32AF8F0C51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-7.1592069529287983E-2</c:v>
                </c:pt>
                <c:pt idx="3">
                  <c:v>-7.2975179711647797E-2</c:v>
                </c:pt>
                <c:pt idx="4">
                  <c:v>-7.1513943294121418E-2</c:v>
                </c:pt>
                <c:pt idx="5">
                  <c:v>-7.2800268048013095E-2</c:v>
                </c:pt>
                <c:pt idx="6">
                  <c:v>-7.3056558816460893E-2</c:v>
                </c:pt>
                <c:pt idx="7">
                  <c:v>-7.7426894487871323E-2</c:v>
                </c:pt>
                <c:pt idx="8">
                  <c:v>-7.3976894491352141E-2</c:v>
                </c:pt>
                <c:pt idx="9">
                  <c:v>-7.2564281836093869E-2</c:v>
                </c:pt>
                <c:pt idx="10">
                  <c:v>-7.2380572593829129E-2</c:v>
                </c:pt>
                <c:pt idx="11">
                  <c:v>-7.1239430028072093E-2</c:v>
                </c:pt>
                <c:pt idx="12">
                  <c:v>-6.3304975417850073E-2</c:v>
                </c:pt>
                <c:pt idx="13">
                  <c:v>-6.444996297796024E-2</c:v>
                </c:pt>
                <c:pt idx="14">
                  <c:v>-6.611838418757543E-2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18-442F-995D-32AF8F0C51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18-442F-995D-32AF8F0C51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18-442F-995D-32AF8F0C51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18-442F-995D-32AF8F0C51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-9.4308677850613185E-2</c:v>
                </c:pt>
                <c:pt idx="1">
                  <c:v>-7.5474806628485422E-2</c:v>
                </c:pt>
                <c:pt idx="2">
                  <c:v>-7.5215520464084223E-2</c:v>
                </c:pt>
                <c:pt idx="3">
                  <c:v>-7.3736928257456438E-2</c:v>
                </c:pt>
                <c:pt idx="4">
                  <c:v>-7.3729583040334584E-2</c:v>
                </c:pt>
                <c:pt idx="5">
                  <c:v>-7.3351304358559466E-2</c:v>
                </c:pt>
                <c:pt idx="6">
                  <c:v>-7.3329268707193931E-2</c:v>
                </c:pt>
                <c:pt idx="7">
                  <c:v>-7.2404505871553393E-2</c:v>
                </c:pt>
                <c:pt idx="8">
                  <c:v>-7.2404505871553393E-2</c:v>
                </c:pt>
                <c:pt idx="9">
                  <c:v>-7.1046375225723893E-2</c:v>
                </c:pt>
                <c:pt idx="10">
                  <c:v>-7.1024339574358358E-2</c:v>
                </c:pt>
                <c:pt idx="11">
                  <c:v>-6.9817520401238897E-2</c:v>
                </c:pt>
                <c:pt idx="12">
                  <c:v>-6.5941449326040263E-2</c:v>
                </c:pt>
                <c:pt idx="13">
                  <c:v>-6.5745332028886952E-2</c:v>
                </c:pt>
                <c:pt idx="14">
                  <c:v>-6.565278229315169E-2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18-442F-995D-32AF8F0C51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-1.8913714884547517E-2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18-442F-995D-32AF8F0C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6120"/>
        <c:axId val="1"/>
      </c:scatterChart>
      <c:valAx>
        <c:axId val="690126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V374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8-4E74-AE05-E266DFF5F4F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8-4E74-AE05-E266DFF5F4F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8-4E74-AE05-E266DFF5F4F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2">
                  <c:v>2.9170000001613516E-2</c:v>
                </c:pt>
                <c:pt idx="3">
                  <c:v>3.5589999999501742E-2</c:v>
                </c:pt>
                <c:pt idx="4">
                  <c:v>3.7090000005264301E-2</c:v>
                </c:pt>
                <c:pt idx="5">
                  <c:v>3.7800000005518086E-2</c:v>
                </c:pt>
                <c:pt idx="6">
                  <c:v>3.7660000001778826E-2</c:v>
                </c:pt>
                <c:pt idx="7">
                  <c:v>3.8170000007085036E-2</c:v>
                </c:pt>
                <c:pt idx="8">
                  <c:v>4.1620000003604218E-2</c:v>
                </c:pt>
                <c:pt idx="9">
                  <c:v>5.0199999997857958E-2</c:v>
                </c:pt>
                <c:pt idx="10">
                  <c:v>5.0500000004831236E-2</c:v>
                </c:pt>
                <c:pt idx="11">
                  <c:v>5.8010000007925555E-2</c:v>
                </c:pt>
                <c:pt idx="12">
                  <c:v>8.639999978186097E-2</c:v>
                </c:pt>
                <c:pt idx="13">
                  <c:v>8.6290000006556511E-2</c:v>
                </c:pt>
                <c:pt idx="14">
                  <c:v>8.510999999998603E-2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8-4E74-AE05-E266DFF5F4F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8-4E74-AE05-E266DFF5F4F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8-4E74-AE05-E266DFF5F4F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1.4E-3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8-4E74-AE05-E266DFF5F4F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-9.4308677848614547E-2</c:v>
                </c:pt>
                <c:pt idx="1">
                  <c:v>2.3918908261587046E-2</c:v>
                </c:pt>
                <c:pt idx="2">
                  <c:v>2.5546549067206992E-2</c:v>
                </c:pt>
                <c:pt idx="3">
                  <c:v>3.4828251451662989E-2</c:v>
                </c:pt>
                <c:pt idx="4">
                  <c:v>3.4874360256354764E-2</c:v>
                </c:pt>
                <c:pt idx="5">
                  <c:v>3.7248963697981613E-2</c:v>
                </c:pt>
                <c:pt idx="6">
                  <c:v>3.7387290112056965E-2</c:v>
                </c:pt>
                <c:pt idx="7">
                  <c:v>4.3192388622752459E-2</c:v>
                </c:pt>
                <c:pt idx="8">
                  <c:v>4.3192388622752459E-2</c:v>
                </c:pt>
                <c:pt idx="9">
                  <c:v>5.1717906610263209E-2</c:v>
                </c:pt>
                <c:pt idx="10">
                  <c:v>5.1856233024338561E-2</c:v>
                </c:pt>
                <c:pt idx="11">
                  <c:v>5.9431909635198565E-2</c:v>
                </c:pt>
                <c:pt idx="12">
                  <c:v>8.3763525871052597E-2</c:v>
                </c:pt>
                <c:pt idx="13">
                  <c:v>8.4994630956323231E-2</c:v>
                </c:pt>
                <c:pt idx="14">
                  <c:v>8.5575601895439696E-2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8-4E74-AE05-E266DFF5F4F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19310</c:v>
                </c:pt>
                <c:pt idx="13">
                  <c:v>19443.5</c:v>
                </c:pt>
                <c:pt idx="14">
                  <c:v>19506.5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  <c:pt idx="1">
                  <c:v>8.0480000004172325E-2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A8-4E74-AE05-E266DFF5F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7432"/>
        <c:axId val="1"/>
      </c:scatterChart>
      <c:valAx>
        <c:axId val="6901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5331A1-93AF-39E3-456E-0FD9A9F14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4BEF3869-32D1-D547-F4BB-B71F0740B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47</v>
      </c>
      <c r="F1" s="38" t="s">
        <v>43</v>
      </c>
      <c r="G1" s="31" t="s">
        <v>44</v>
      </c>
      <c r="H1" s="39"/>
      <c r="I1" s="40" t="s">
        <v>45</v>
      </c>
      <c r="J1" s="38" t="s">
        <v>43</v>
      </c>
      <c r="K1" s="33">
        <v>17.272030000000001</v>
      </c>
      <c r="L1" s="34">
        <v>56.222999999999999</v>
      </c>
      <c r="M1" s="35">
        <v>51484.610999999997</v>
      </c>
      <c r="N1" s="35">
        <v>0.40345999999999999</v>
      </c>
      <c r="O1" s="32" t="s">
        <v>46</v>
      </c>
    </row>
    <row r="2" spans="1:15">
      <c r="A2" t="s">
        <v>26</v>
      </c>
      <c r="B2" t="s">
        <v>46</v>
      </c>
      <c r="C2" s="30"/>
      <c r="D2" s="3"/>
    </row>
    <row r="3" spans="1:15" ht="13.5" thickBot="1"/>
    <row r="4" spans="1:15" ht="14.25" thickTop="1" thickBot="1">
      <c r="A4" s="5" t="s">
        <v>3</v>
      </c>
      <c r="C4" s="27">
        <v>51484.610999999997</v>
      </c>
      <c r="D4" s="28">
        <v>0.40345999999999999</v>
      </c>
    </row>
    <row r="5" spans="1:15" ht="13.5" thickTop="1">
      <c r="A5" s="9" t="s">
        <v>31</v>
      </c>
      <c r="B5" s="10"/>
      <c r="C5" s="11">
        <v>-9.5</v>
      </c>
      <c r="D5" s="10" t="s">
        <v>32</v>
      </c>
      <c r="E5" s="10"/>
    </row>
    <row r="6" spans="1:15">
      <c r="A6" s="5" t="s">
        <v>4</v>
      </c>
    </row>
    <row r="7" spans="1:15">
      <c r="A7" t="s">
        <v>5</v>
      </c>
      <c r="C7" s="8">
        <f>M1</f>
        <v>51484.610999999997</v>
      </c>
      <c r="D7" s="29" t="s">
        <v>48</v>
      </c>
    </row>
    <row r="8" spans="1:15">
      <c r="A8" t="s">
        <v>6</v>
      </c>
      <c r="C8" s="8">
        <v>0.40346775271751406</v>
      </c>
      <c r="D8" s="29" t="str">
        <f>D7</f>
        <v>GCVS</v>
      </c>
    </row>
    <row r="9" spans="1:15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22</v>
      </c>
      <c r="D10" s="4" t="s">
        <v>23</v>
      </c>
      <c r="E10" s="10"/>
    </row>
    <row r="11" spans="1:15">
      <c r="A11" s="10" t="s">
        <v>18</v>
      </c>
      <c r="B11" s="10"/>
      <c r="C11" s="21">
        <f ca="1">INTERCEPT(INDIRECT($D$9):G991,INDIRECT($C$9):F991)</f>
        <v>-9.4308677850613185E-2</v>
      </c>
      <c r="D11" s="3"/>
      <c r="E11" s="10"/>
    </row>
    <row r="12" spans="1:15">
      <c r="A12" s="10" t="s">
        <v>19</v>
      </c>
      <c r="B12" s="10"/>
      <c r="C12" s="21">
        <f ca="1">SLOPE(INDIRECT($D$9):G991,INDIRECT($C$9):F991)</f>
        <v>1.4690434243693898E-6</v>
      </c>
      <c r="D12" s="3"/>
      <c r="E12" s="10"/>
    </row>
    <row r="13" spans="1:15">
      <c r="A13" s="10" t="s">
        <v>21</v>
      </c>
      <c r="B13" s="10"/>
      <c r="C13" s="3" t="s">
        <v>16</v>
      </c>
    </row>
    <row r="14" spans="1:15">
      <c r="A14" s="10"/>
      <c r="B14" s="10"/>
      <c r="C14" s="10"/>
    </row>
    <row r="15" spans="1:15">
      <c r="A15" s="12" t="s">
        <v>20</v>
      </c>
      <c r="B15" s="10"/>
      <c r="C15" s="13">
        <f ca="1">(C7+C11)+(C8+C12)*INT(MAX(F21:F3532))</f>
        <v>59354.587330991009</v>
      </c>
      <c r="E15" s="14" t="s">
        <v>36</v>
      </c>
      <c r="F15" s="36">
        <v>1</v>
      </c>
    </row>
    <row r="16" spans="1:15">
      <c r="A16" s="16" t="s">
        <v>7</v>
      </c>
      <c r="B16" s="10"/>
      <c r="C16" s="17">
        <f ca="1">+C8+C12</f>
        <v>0.40346922176093841</v>
      </c>
      <c r="E16" s="14" t="s">
        <v>33</v>
      </c>
      <c r="F16" s="37">
        <f ca="1">NOW()+15018.5+$C$5/24</f>
        <v>59958.620600578703</v>
      </c>
    </row>
    <row r="17" spans="1:21" ht="13.5" thickBot="1">
      <c r="A17" s="14" t="s">
        <v>30</v>
      </c>
      <c r="B17" s="10"/>
      <c r="C17" s="10">
        <f>COUNT(C21:C2190)</f>
        <v>15</v>
      </c>
      <c r="E17" s="14" t="s">
        <v>37</v>
      </c>
      <c r="F17" s="15">
        <f ca="1">ROUND(2*(F16-$C$7)/$C$8,0)/2+F15</f>
        <v>21004</v>
      </c>
    </row>
    <row r="18" spans="1:21" ht="14.25" thickTop="1" thickBot="1">
      <c r="A18" s="16" t="s">
        <v>8</v>
      </c>
      <c r="B18" s="10"/>
      <c r="C18" s="19">
        <f ca="1">+C15</f>
        <v>59354.587330991009</v>
      </c>
      <c r="D18" s="20">
        <f ca="1">+C16</f>
        <v>0.40346922176093841</v>
      </c>
      <c r="E18" s="14" t="s">
        <v>38</v>
      </c>
      <c r="F18" s="23">
        <f ca="1">ROUND(2*(F16-$C$15)/$C$16,0)/2+F15</f>
        <v>1498</v>
      </c>
    </row>
    <row r="19" spans="1:21" ht="13.5" thickTop="1">
      <c r="E19" s="14" t="s">
        <v>34</v>
      </c>
      <c r="F19" s="18">
        <f ca="1">+$C$15+$C$16*F18-15018.5-$C$5/24</f>
        <v>44940.880058522234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1</v>
      </c>
    </row>
    <row r="21" spans="1:21">
      <c r="A21" t="s">
        <v>48</v>
      </c>
      <c r="C21" s="8">
        <v>51484.610999999997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-9.4308677850613185E-2</v>
      </c>
      <c r="Q21" s="2">
        <f>+C21-15018.5</f>
        <v>36466.110999999997</v>
      </c>
    </row>
    <row r="22" spans="1:21">
      <c r="A22" s="43" t="s">
        <v>49</v>
      </c>
      <c r="B22" s="44" t="s">
        <v>50</v>
      </c>
      <c r="C22" s="45">
        <v>56657.250410000001</v>
      </c>
      <c r="D22" s="43">
        <v>5.0000000000000001E-4</v>
      </c>
      <c r="E22">
        <f>+(C22-C$7)/C$8</f>
        <v>12820.453122115068</v>
      </c>
      <c r="F22">
        <f>ROUND(2*E22,0)/2</f>
        <v>12820.5</v>
      </c>
      <c r="O22">
        <f ca="1">+C$11+C$12*$F22</f>
        <v>-7.5474806628485422E-2</v>
      </c>
      <c r="Q22" s="2">
        <f>+C22-15018.5</f>
        <v>41638.750410000001</v>
      </c>
      <c r="U22">
        <f>+C22-(C$7+F22*C$8)</f>
        <v>-1.8913714884547517E-2</v>
      </c>
    </row>
    <row r="23" spans="1:21">
      <c r="A23" s="43" t="s">
        <v>49</v>
      </c>
      <c r="B23" s="44" t="s">
        <v>50</v>
      </c>
      <c r="C23" s="45">
        <v>56728.409789999998</v>
      </c>
      <c r="D23" s="43">
        <v>1.5E-3</v>
      </c>
      <c r="E23">
        <f>+(C23-C$7)/C$8</f>
        <v>12996.822558137428</v>
      </c>
      <c r="F23">
        <f>ROUND(2*E23,0)/2</f>
        <v>12997</v>
      </c>
      <c r="G23">
        <f>+C23-(C$7+F23*C$8)</f>
        <v>-7.1592069529287983E-2</v>
      </c>
      <c r="K23">
        <f>+G23</f>
        <v>-7.1592069529287983E-2</v>
      </c>
      <c r="O23">
        <f ca="1">+C$11+C$12*$F23</f>
        <v>-7.5215520464084223E-2</v>
      </c>
      <c r="Q23" s="2">
        <f>+C23-15018.5</f>
        <v>41709.909789999998</v>
      </c>
    </row>
    <row r="24" spans="1:21">
      <c r="A24" s="46" t="s">
        <v>2</v>
      </c>
      <c r="B24" s="47" t="s">
        <v>50</v>
      </c>
      <c r="C24" s="48">
        <v>57134.498699999996</v>
      </c>
      <c r="D24" s="48">
        <v>5.7000000000000002E-3</v>
      </c>
      <c r="E24">
        <f>+(C24-C$7)/C$8</f>
        <v>14003.31913008111</v>
      </c>
      <c r="F24">
        <f>ROUND(2*E24,0)/2</f>
        <v>14003.5</v>
      </c>
      <c r="G24">
        <f>+C24-(C$7+F24*C$8)</f>
        <v>-7.2975179711647797E-2</v>
      </c>
      <c r="K24">
        <f>+G24</f>
        <v>-7.2975179711647797E-2</v>
      </c>
      <c r="O24">
        <f ca="1">+C$11+C$12*$F24</f>
        <v>-7.3736928257456438E-2</v>
      </c>
      <c r="Q24" s="2">
        <f>+C24-15018.5</f>
        <v>42115.998699999996</v>
      </c>
    </row>
    <row r="25" spans="1:21">
      <c r="A25" s="46" t="s">
        <v>2</v>
      </c>
      <c r="B25" s="47" t="s">
        <v>50</v>
      </c>
      <c r="C25" s="48">
        <v>57136.517500000002</v>
      </c>
      <c r="D25" s="48">
        <v>6.7000000000000002E-3</v>
      </c>
      <c r="E25">
        <f>+(C25-C$7)/C$8</f>
        <v>14008.322751774313</v>
      </c>
      <c r="F25">
        <f>ROUND(2*E25,0)/2</f>
        <v>14008.5</v>
      </c>
      <c r="G25">
        <f>+C25-(C$7+F25*C$8)</f>
        <v>-7.1513943294121418E-2</v>
      </c>
      <c r="K25">
        <f>+G25</f>
        <v>-7.1513943294121418E-2</v>
      </c>
      <c r="O25">
        <f ca="1">+C$11+C$12*$F25</f>
        <v>-7.3729583040334584E-2</v>
      </c>
      <c r="Q25" s="2">
        <f>+C25-15018.5</f>
        <v>42118.017500000002</v>
      </c>
    </row>
    <row r="26" spans="1:21">
      <c r="A26" s="49" t="s">
        <v>51</v>
      </c>
      <c r="B26" s="50" t="s">
        <v>50</v>
      </c>
      <c r="C26" s="51">
        <v>57240.409160000003</v>
      </c>
      <c r="D26" s="51">
        <v>1E-3</v>
      </c>
      <c r="E26">
        <f>+(C26-C$7)/C$8</f>
        <v>14265.819563601901</v>
      </c>
      <c r="F26">
        <f>ROUND(2*E26,0)/2</f>
        <v>14266</v>
      </c>
      <c r="G26">
        <f>+C26-(C$7+F26*C$8)</f>
        <v>-7.2800268048013095E-2</v>
      </c>
      <c r="K26">
        <f>+G26</f>
        <v>-7.2800268048013095E-2</v>
      </c>
      <c r="O26">
        <f ca="1">+C$11+C$12*$F26</f>
        <v>-7.3351304358559466E-2</v>
      </c>
      <c r="Q26" s="2">
        <f>+C26-15018.5</f>
        <v>42221.909160000003</v>
      </c>
    </row>
    <row r="27" spans="1:21">
      <c r="A27" s="49" t="s">
        <v>51</v>
      </c>
      <c r="B27" s="50" t="s">
        <v>50</v>
      </c>
      <c r="C27" s="51">
        <v>57246.460919999998</v>
      </c>
      <c r="D27" s="51">
        <v>8.0000000000000004E-4</v>
      </c>
      <c r="E27">
        <f>+(C27-C$7)/C$8</f>
        <v>14280.818928381945</v>
      </c>
      <c r="F27">
        <f>ROUND(2*E27,0)/2</f>
        <v>14281</v>
      </c>
      <c r="G27">
        <f>+C27-(C$7+F27*C$8)</f>
        <v>-7.3056558816460893E-2</v>
      </c>
      <c r="K27">
        <f>+G27</f>
        <v>-7.3056558816460893E-2</v>
      </c>
      <c r="O27">
        <f ca="1">+C$11+C$12*$F27</f>
        <v>-7.3329268707193931E-2</v>
      </c>
      <c r="Q27" s="2">
        <f>+C27-15018.5</f>
        <v>42227.960919999998</v>
      </c>
    </row>
    <row r="28" spans="1:21">
      <c r="A28" s="46" t="s">
        <v>2</v>
      </c>
      <c r="B28" s="47" t="s">
        <v>50</v>
      </c>
      <c r="C28" s="48">
        <v>57500.4395</v>
      </c>
      <c r="D28" s="48">
        <v>1.37E-2</v>
      </c>
      <c r="E28">
        <f>+(C28-C$7)/C$8</f>
        <v>14910.308096448927</v>
      </c>
      <c r="F28">
        <f>ROUND(2*E28,0)/2</f>
        <v>14910.5</v>
      </c>
      <c r="G28">
        <f>+C28-(C$7+F28*C$8)</f>
        <v>-7.7426894487871323E-2</v>
      </c>
      <c r="K28">
        <f>+G28</f>
        <v>-7.7426894487871323E-2</v>
      </c>
      <c r="O28">
        <f ca="1">+C$11+C$12*$F28</f>
        <v>-7.2404505871553393E-2</v>
      </c>
      <c r="Q28" s="2">
        <f>+C28-15018.5</f>
        <v>42481.9395</v>
      </c>
    </row>
    <row r="29" spans="1:21">
      <c r="A29" s="49" t="s">
        <v>51</v>
      </c>
      <c r="B29" s="50" t="s">
        <v>50</v>
      </c>
      <c r="C29" s="51">
        <v>57500.442949999997</v>
      </c>
      <c r="D29" s="51">
        <v>5.9999999999999995E-4</v>
      </c>
      <c r="E29">
        <f>+(C29-C$7)/C$8</f>
        <v>14910.316647318168</v>
      </c>
      <c r="F29">
        <f>ROUND(2*E29,0)/2</f>
        <v>14910.5</v>
      </c>
      <c r="G29">
        <f>+C29-(C$7+F29*C$8)</f>
        <v>-7.3976894491352141E-2</v>
      </c>
      <c r="K29">
        <f>+G29</f>
        <v>-7.3976894491352141E-2</v>
      </c>
      <c r="O29">
        <f ca="1">+C$11+C$12*$F29</f>
        <v>-7.2404505871553393E-2</v>
      </c>
      <c r="Q29" s="2">
        <f>+C29-15018.5</f>
        <v>42481.942949999997</v>
      </c>
    </row>
    <row r="30" spans="1:21">
      <c r="A30" s="41" t="s">
        <v>0</v>
      </c>
      <c r="B30" s="52" t="s">
        <v>50</v>
      </c>
      <c r="C30" s="52">
        <v>57873.450299999997</v>
      </c>
      <c r="D30" s="52">
        <v>1.6000000000000001E-3</v>
      </c>
      <c r="E30">
        <f>+(C30-C$7)/C$8</f>
        <v>15834.820148496759</v>
      </c>
      <c r="F30">
        <f>ROUND(2*E30,0)/2</f>
        <v>15835</v>
      </c>
      <c r="G30">
        <f>+C30-(C$7+F30*C$8)</f>
        <v>-7.2564281836093869E-2</v>
      </c>
      <c r="K30">
        <f>+G30</f>
        <v>-7.2564281836093869E-2</v>
      </c>
      <c r="O30">
        <f ca="1">+C$11+C$12*$F30</f>
        <v>-7.1046375225723893E-2</v>
      </c>
      <c r="Q30" s="2">
        <f>+C30-15018.5</f>
        <v>42854.950299999997</v>
      </c>
    </row>
    <row r="31" spans="1:21">
      <c r="A31" s="41" t="s">
        <v>0</v>
      </c>
      <c r="B31" s="52" t="s">
        <v>50</v>
      </c>
      <c r="C31" s="52">
        <v>57879.502500000002</v>
      </c>
      <c r="D31" s="52">
        <v>2E-3</v>
      </c>
      <c r="E31">
        <f>+(C31-C$7)/C$8</f>
        <v>15849.820603822474</v>
      </c>
      <c r="F31">
        <f>ROUND(2*E31,0)/2</f>
        <v>15850</v>
      </c>
      <c r="G31">
        <f>+C31-(C$7+F31*C$8)</f>
        <v>-7.2380572593829129E-2</v>
      </c>
      <c r="K31">
        <f>+G31</f>
        <v>-7.2380572593829129E-2</v>
      </c>
      <c r="O31">
        <f ca="1">+C$11+C$12*$F31</f>
        <v>-7.1024339574358358E-2</v>
      </c>
      <c r="Q31" s="2">
        <f>+C31-15018.5</f>
        <v>42861.002500000002</v>
      </c>
    </row>
    <row r="32" spans="1:21">
      <c r="A32" s="42" t="s">
        <v>52</v>
      </c>
      <c r="C32" s="8">
        <v>58210.952400000002</v>
      </c>
      <c r="D32" s="8">
        <v>4.0000000000000002E-4</v>
      </c>
      <c r="E32">
        <f>+(C32-C$7)/C$8</f>
        <v>16671.323432158948</v>
      </c>
      <c r="F32">
        <f>ROUND(2*E32,0)/2</f>
        <v>16671.5</v>
      </c>
      <c r="G32">
        <f>+C32-(C$7+F32*C$8)</f>
        <v>-7.1239430028072093E-2</v>
      </c>
      <c r="K32">
        <f>+G32</f>
        <v>-7.1239430028072093E-2</v>
      </c>
      <c r="O32">
        <f ca="1">+C$11+C$12*$F32</f>
        <v>-6.9817520401238897E-2</v>
      </c>
      <c r="Q32" s="2">
        <f>+C32-15018.5</f>
        <v>43192.452400000002</v>
      </c>
    </row>
    <row r="33" spans="1:17">
      <c r="A33" s="53" t="s">
        <v>54</v>
      </c>
      <c r="B33" s="54" t="s">
        <v>50</v>
      </c>
      <c r="C33" s="55">
        <v>59275.509999999776</v>
      </c>
      <c r="D33" s="53">
        <v>1E-3</v>
      </c>
      <c r="E33">
        <f>+(C33-C$7)/C$8</f>
        <v>19309.843097806475</v>
      </c>
      <c r="F33">
        <f>ROUND(2*E33,0)/2</f>
        <v>19310</v>
      </c>
      <c r="G33">
        <f>+C33-(C$7+F33*C$8)</f>
        <v>-6.3304975417850073E-2</v>
      </c>
      <c r="K33">
        <f>+G33</f>
        <v>-6.3304975417850073E-2</v>
      </c>
      <c r="O33">
        <f ca="1">+C$11+C$12*$F33</f>
        <v>-6.5941449326040263E-2</v>
      </c>
      <c r="Q33" s="2">
        <f>+C33-15018.5</f>
        <v>44257.009999999776</v>
      </c>
    </row>
    <row r="34" spans="1:17">
      <c r="A34" s="53" t="s">
        <v>55</v>
      </c>
      <c r="B34" s="54" t="s">
        <v>50</v>
      </c>
      <c r="C34" s="55">
        <v>59329.371800000001</v>
      </c>
      <c r="D34" s="53">
        <v>1.4E-3</v>
      </c>
      <c r="E34">
        <f>+(C34-C$7)/C$8</f>
        <v>19443.340259940116</v>
      </c>
      <c r="F34">
        <f>ROUND(2*E34,0)/2</f>
        <v>19443.5</v>
      </c>
      <c r="G34">
        <f>+C34-(C$7+F34*C$8)</f>
        <v>-6.444996297796024E-2</v>
      </c>
      <c r="K34">
        <f>+G34</f>
        <v>-6.444996297796024E-2</v>
      </c>
      <c r="O34">
        <f ca="1">+C$11+C$12*$F34</f>
        <v>-6.5745332028886952E-2</v>
      </c>
      <c r="Q34" s="2">
        <f>+C34-15018.5</f>
        <v>44310.871800000001</v>
      </c>
    </row>
    <row r="35" spans="1:17">
      <c r="A35" s="42" t="s">
        <v>53</v>
      </c>
      <c r="C35" s="8">
        <v>59354.7886</v>
      </c>
      <c r="D35" s="8">
        <v>2.9999999999999997E-4</v>
      </c>
      <c r="E35">
        <f>+(C35-C$7)/C$8</f>
        <v>19506.336124736761</v>
      </c>
      <c r="F35">
        <f>ROUND(2*E35,0)/2</f>
        <v>19506.5</v>
      </c>
      <c r="G35">
        <f>+C35-(C$7+F35*C$8)</f>
        <v>-6.611838418757543E-2</v>
      </c>
      <c r="K35">
        <f>+G35</f>
        <v>-6.611838418757543E-2</v>
      </c>
      <c r="O35">
        <f ca="1">+C$11+C$12*$F35</f>
        <v>-6.565278229315169E-2</v>
      </c>
      <c r="Q35" s="2">
        <f>+C35-15018.5</f>
        <v>44336.2886</v>
      </c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sortState xmlns:xlrd2="http://schemas.microsoft.com/office/spreadsheetml/2017/richdata2" ref="A21:Q36">
    <sortCondition ref="C21:C36"/>
  </sortState>
  <phoneticPr fontId="8" type="noConversion"/>
  <hyperlinks>
    <hyperlink ref="H581" r:id="rId1" display="http://vsolj.cetus-net.org/bulletin.html" xr:uid="{00000000-0004-0000-0000-000000000000}"/>
    <hyperlink ref="H64455" r:id="rId2" display="http://vsolj.cetus-net.org/bulletin.html" xr:uid="{00000000-0004-0000-0000-000001000000}"/>
    <hyperlink ref="H64448" r:id="rId3" display="https://www.aavso.org/ejaavso" xr:uid="{00000000-0004-0000-0000-000002000000}"/>
    <hyperlink ref="AP599" r:id="rId4" display="http://cdsbib.u-strasbg.fr/cgi-bin/cdsbib?1990RMxAA..21..381G" xr:uid="{00000000-0004-0000-0000-000003000000}"/>
    <hyperlink ref="AP603" r:id="rId5" display="http://cdsbib.u-strasbg.fr/cgi-bin/cdsbib?1990RMxAA..21..381G" xr:uid="{00000000-0004-0000-0000-000004000000}"/>
    <hyperlink ref="AP602" r:id="rId6" display="http://cdsbib.u-strasbg.fr/cgi-bin/cdsbib?1990RMxAA..21..381G" xr:uid="{00000000-0004-0000-0000-000005000000}"/>
    <hyperlink ref="AP583" r:id="rId7" display="http://cdsbib.u-strasbg.fr/cgi-bin/cdsbib?1990RMxAA..21..381G" xr:uid="{00000000-0004-0000-0000-000006000000}"/>
    <hyperlink ref="I64455" r:id="rId8" display="http://vsolj.cetus-net.org/bulletin.html" xr:uid="{00000000-0004-0000-0000-000007000000}"/>
    <hyperlink ref="AQ739" r:id="rId9" display="http://cdsbib.u-strasbg.fr/cgi-bin/cdsbib?1990RMxAA..21..381G" xr:uid="{00000000-0004-0000-0000-000008000000}"/>
    <hyperlink ref="AQ55505" r:id="rId10" display="http://cdsbib.u-strasbg.fr/cgi-bin/cdsbib?1990RMxAA..21..381G" xr:uid="{00000000-0004-0000-0000-000009000000}"/>
    <hyperlink ref="AQ740" r:id="rId11" display="http://cdsbib.u-strasbg.fr/cgi-bin/cdsbib?1990RMxAA..21..381G" xr:uid="{00000000-0004-0000-0000-00000A000000}"/>
    <hyperlink ref="H64452" r:id="rId12" display="https://www.aavso.org/ejaavso" xr:uid="{00000000-0004-0000-0000-00000B000000}"/>
    <hyperlink ref="H1625" r:id="rId13" display="http://vsolj.cetus-net.org/bulletin.html" xr:uid="{00000000-0004-0000-0000-00000C000000}"/>
    <hyperlink ref="AP2869" r:id="rId14" display="http://cdsbib.u-strasbg.fr/cgi-bin/cdsbib?1990RMxAA..21..381G" xr:uid="{00000000-0004-0000-0000-00000D000000}"/>
    <hyperlink ref="AP2872" r:id="rId15" display="http://cdsbib.u-strasbg.fr/cgi-bin/cdsbib?1990RMxAA..21..381G" xr:uid="{00000000-0004-0000-0000-00000E000000}"/>
    <hyperlink ref="AP2870" r:id="rId16" display="http://cdsbib.u-strasbg.fr/cgi-bin/cdsbib?1990RMxAA..21..381G" xr:uid="{00000000-0004-0000-0000-00000F000000}"/>
    <hyperlink ref="AP2854" r:id="rId17" display="http://cdsbib.u-strasbg.fr/cgi-bin/cdsbib?1990RMxAA..21..381G" xr:uid="{00000000-0004-0000-0000-000010000000}"/>
    <hyperlink ref="I1625" r:id="rId18" display="http://vsolj.cetus-net.org/bulletin.html" xr:uid="{00000000-0004-0000-0000-000011000000}"/>
    <hyperlink ref="AQ3083" r:id="rId19" display="http://cdsbib.u-strasbg.fr/cgi-bin/cdsbib?1990RMxAA..21..381G" xr:uid="{00000000-0004-0000-0000-000012000000}"/>
    <hyperlink ref="AQ65320" r:id="rId20" display="http://cdsbib.u-strasbg.fr/cgi-bin/cdsbib?1990RMxAA..21..381G" xr:uid="{00000000-0004-0000-0000-000013000000}"/>
    <hyperlink ref="AQ308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39"/>
  <sheetViews>
    <sheetView workbookViewId="0">
      <selection activeCell="A20" sqref="A20:Q35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47</v>
      </c>
      <c r="F1" s="38" t="s">
        <v>43</v>
      </c>
      <c r="G1" s="31" t="s">
        <v>44</v>
      </c>
      <c r="H1" s="39"/>
      <c r="I1" s="40" t="s">
        <v>45</v>
      </c>
      <c r="J1" s="38" t="s">
        <v>43</v>
      </c>
      <c r="K1" s="33">
        <v>17.272030000000001</v>
      </c>
      <c r="L1" s="34">
        <v>56.222999999999999</v>
      </c>
      <c r="M1" s="35">
        <v>51484.610999999997</v>
      </c>
      <c r="N1" s="35">
        <v>0.40345999999999999</v>
      </c>
      <c r="O1" s="32" t="s">
        <v>46</v>
      </c>
    </row>
    <row r="2" spans="1:15">
      <c r="A2" t="s">
        <v>26</v>
      </c>
      <c r="B2" t="s">
        <v>46</v>
      </c>
      <c r="C2" s="30"/>
      <c r="D2" s="3"/>
    </row>
    <row r="3" spans="1:15" ht="13.5" thickBot="1"/>
    <row r="4" spans="1:15" ht="14.25" thickTop="1" thickBot="1">
      <c r="A4" s="5" t="s">
        <v>3</v>
      </c>
      <c r="C4" s="27">
        <v>51484.610999999997</v>
      </c>
      <c r="D4" s="28">
        <v>0.40345999999999999</v>
      </c>
    </row>
    <row r="5" spans="1:15" ht="13.5" thickTop="1">
      <c r="A5" s="9" t="s">
        <v>31</v>
      </c>
      <c r="B5" s="10"/>
      <c r="C5" s="11">
        <v>8</v>
      </c>
      <c r="D5" s="10" t="s">
        <v>32</v>
      </c>
      <c r="E5" s="10"/>
    </row>
    <row r="6" spans="1:15">
      <c r="A6" s="5" t="s">
        <v>4</v>
      </c>
    </row>
    <row r="7" spans="1:15">
      <c r="A7" t="s">
        <v>5</v>
      </c>
      <c r="C7" s="8">
        <f>M1</f>
        <v>51484.610999999997</v>
      </c>
      <c r="D7" s="29" t="s">
        <v>48</v>
      </c>
    </row>
    <row r="8" spans="1:15">
      <c r="A8" t="s">
        <v>6</v>
      </c>
      <c r="C8" s="8">
        <f>N1</f>
        <v>0.40345999999999999</v>
      </c>
      <c r="D8" s="29" t="str">
        <f>D7</f>
        <v>GCVS</v>
      </c>
    </row>
    <row r="9" spans="1:15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22</v>
      </c>
      <c r="D10" s="4" t="s">
        <v>23</v>
      </c>
      <c r="E10" s="10"/>
    </row>
    <row r="11" spans="1:15">
      <c r="A11" s="10" t="s">
        <v>18</v>
      </c>
      <c r="B11" s="10"/>
      <c r="C11" s="21">
        <f ca="1">INTERCEPT(INDIRECT($D$9):G991,INDIRECT($C$9):F991)</f>
        <v>-9.4308677848614547E-2</v>
      </c>
      <c r="D11" s="3"/>
      <c r="E11" s="10"/>
    </row>
    <row r="12" spans="1:15">
      <c r="A12" s="10" t="s">
        <v>19</v>
      </c>
      <c r="B12" s="10"/>
      <c r="C12" s="21">
        <f ca="1">SLOPE(INDIRECT($D$9):G991,INDIRECT($C$9):F991)</f>
        <v>9.2217609383566626E-6</v>
      </c>
      <c r="D12" s="3"/>
      <c r="E12" s="10"/>
    </row>
    <row r="13" spans="1:15">
      <c r="A13" s="10" t="s">
        <v>21</v>
      </c>
      <c r="B13" s="10"/>
      <c r="C13" s="3" t="s">
        <v>16</v>
      </c>
    </row>
    <row r="14" spans="1:15">
      <c r="A14" s="10"/>
      <c r="B14" s="10"/>
      <c r="C14" s="10"/>
    </row>
    <row r="15" spans="1:15">
      <c r="A15" s="12" t="s">
        <v>20</v>
      </c>
      <c r="B15" s="10"/>
      <c r="C15" s="13">
        <f ca="1">(C7+C11)+(C8+C12)*INT(MAX(F21:F3532))</f>
        <v>59354.587330991009</v>
      </c>
      <c r="E15" s="14" t="s">
        <v>36</v>
      </c>
      <c r="F15" s="36">
        <v>1</v>
      </c>
    </row>
    <row r="16" spans="1:15">
      <c r="A16" s="16" t="s">
        <v>7</v>
      </c>
      <c r="B16" s="10"/>
      <c r="C16" s="17">
        <f ca="1">+C8+C12</f>
        <v>0.40346922176093836</v>
      </c>
      <c r="E16" s="14" t="s">
        <v>33</v>
      </c>
      <c r="F16" s="37">
        <f ca="1">NOW()+15018.5+$C$5/24</f>
        <v>59959.349767245374</v>
      </c>
    </row>
    <row r="17" spans="1:21" ht="13.5" thickBot="1">
      <c r="A17" s="14" t="s">
        <v>30</v>
      </c>
      <c r="B17" s="10"/>
      <c r="C17" s="10">
        <f>COUNT(C21:C2190)</f>
        <v>15</v>
      </c>
      <c r="E17" s="14" t="s">
        <v>37</v>
      </c>
      <c r="F17" s="15">
        <f ca="1">ROUND(2*(F16-$C$7)/$C$8,0)/2+F15</f>
        <v>21006</v>
      </c>
    </row>
    <row r="18" spans="1:21" ht="14.25" thickTop="1" thickBot="1">
      <c r="A18" s="16" t="s">
        <v>8</v>
      </c>
      <c r="B18" s="10"/>
      <c r="C18" s="19">
        <f ca="1">+C15</f>
        <v>59354.587330991009</v>
      </c>
      <c r="D18" s="20">
        <f ca="1">+C16</f>
        <v>0.40346922176093836</v>
      </c>
      <c r="E18" s="14" t="s">
        <v>38</v>
      </c>
      <c r="F18" s="23">
        <f ca="1">ROUND(2*(F16-$C$15)/$C$16,0)/2+F15</f>
        <v>1500</v>
      </c>
    </row>
    <row r="19" spans="1:21" ht="13.5" thickTop="1">
      <c r="E19" s="14" t="s">
        <v>34</v>
      </c>
      <c r="F19" s="18">
        <f ca="1">+$C$15+$C$16*F18-15018.5-$C$5/24</f>
        <v>44940.957830299078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1</v>
      </c>
    </row>
    <row r="21" spans="1:21">
      <c r="A21" t="s">
        <v>48</v>
      </c>
      <c r="C21" s="8">
        <v>51484.610999999997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-9.4308677848614547E-2</v>
      </c>
      <c r="Q21" s="2">
        <f>+C21-15018.5</f>
        <v>36466.110999999997</v>
      </c>
    </row>
    <row r="22" spans="1:21">
      <c r="A22" s="43" t="s">
        <v>49</v>
      </c>
      <c r="B22" s="44" t="s">
        <v>50</v>
      </c>
      <c r="C22" s="45">
        <v>56657.250410000001</v>
      </c>
      <c r="D22" s="43">
        <v>5.0000000000000001E-4</v>
      </c>
      <c r="E22">
        <f>+(C22-C$7)/C$8</f>
        <v>12820.699474545194</v>
      </c>
      <c r="F22">
        <f>ROUND(2*E22,0)/2</f>
        <v>12820.5</v>
      </c>
      <c r="O22">
        <f ca="1">+C$11+C$12*$F22</f>
        <v>2.3918908261587046E-2</v>
      </c>
      <c r="Q22" s="2">
        <f>+C22-15018.5</f>
        <v>41638.750410000001</v>
      </c>
      <c r="U22">
        <f>+C22-(C$7+F22*C$8)</f>
        <v>8.0480000004172325E-2</v>
      </c>
    </row>
    <row r="23" spans="1:21">
      <c r="A23" s="43" t="s">
        <v>49</v>
      </c>
      <c r="B23" s="44" t="s">
        <v>50</v>
      </c>
      <c r="C23" s="45">
        <v>56728.409789999998</v>
      </c>
      <c r="D23" s="43">
        <v>1.5E-3</v>
      </c>
      <c r="E23">
        <f>+(C23-C$7)/C$8</f>
        <v>12997.07229960839</v>
      </c>
      <c r="F23">
        <f>ROUND(2*E23,0)/2</f>
        <v>12997</v>
      </c>
      <c r="G23">
        <f>+C23-(C$7+F23*C$8)</f>
        <v>2.9170000001613516E-2</v>
      </c>
      <c r="K23">
        <f>+G23</f>
        <v>2.9170000001613516E-2</v>
      </c>
      <c r="O23">
        <f ca="1">+C$11+C$12*$F23</f>
        <v>2.5546549067206992E-2</v>
      </c>
      <c r="Q23" s="2">
        <f>+C23-15018.5</f>
        <v>41709.909789999998</v>
      </c>
    </row>
    <row r="24" spans="1:21">
      <c r="A24" s="46" t="s">
        <v>2</v>
      </c>
      <c r="B24" s="47" t="s">
        <v>50</v>
      </c>
      <c r="C24" s="48">
        <v>57134.498699999996</v>
      </c>
      <c r="D24" s="48">
        <v>5.7000000000000002E-3</v>
      </c>
      <c r="E24">
        <f>+(C24-C$7)/C$8</f>
        <v>14003.588211966489</v>
      </c>
      <c r="F24">
        <f>ROUND(2*E24,0)/2</f>
        <v>14003.5</v>
      </c>
      <c r="G24">
        <f>+C24-(C$7+F24*C$8)</f>
        <v>3.5589999999501742E-2</v>
      </c>
      <c r="K24">
        <f>+G24</f>
        <v>3.5589999999501742E-2</v>
      </c>
      <c r="O24">
        <f ca="1">+C$11+C$12*$F24</f>
        <v>3.4828251451662989E-2</v>
      </c>
      <c r="Q24" s="2">
        <f>+C24-15018.5</f>
        <v>42115.998699999996</v>
      </c>
    </row>
    <row r="25" spans="1:21">
      <c r="A25" s="46" t="s">
        <v>2</v>
      </c>
      <c r="B25" s="47" t="s">
        <v>50</v>
      </c>
      <c r="C25" s="48">
        <v>57136.517500000002</v>
      </c>
      <c r="D25" s="48">
        <v>6.7000000000000002E-3</v>
      </c>
      <c r="E25">
        <f>+(C25-C$7)/C$8</f>
        <v>14008.59192980718</v>
      </c>
      <c r="F25">
        <f>ROUND(2*E25,0)/2</f>
        <v>14008.5</v>
      </c>
      <c r="G25">
        <f>+C25-(C$7+F25*C$8)</f>
        <v>3.7090000005264301E-2</v>
      </c>
      <c r="K25">
        <f>+G25</f>
        <v>3.7090000005264301E-2</v>
      </c>
      <c r="O25">
        <f ca="1">+C$11+C$12*$F25</f>
        <v>3.4874360256354764E-2</v>
      </c>
      <c r="Q25" s="2">
        <f>+C25-15018.5</f>
        <v>42118.017500000002</v>
      </c>
    </row>
    <row r="26" spans="1:21">
      <c r="A26" s="49" t="s">
        <v>51</v>
      </c>
      <c r="B26" s="50" t="s">
        <v>50</v>
      </c>
      <c r="C26" s="51">
        <v>57240.409160000003</v>
      </c>
      <c r="D26" s="51">
        <v>1E-3</v>
      </c>
      <c r="E26">
        <f>+(C26-C$7)/C$8</f>
        <v>14266.093689585105</v>
      </c>
      <c r="F26">
        <f>ROUND(2*E26,0)/2</f>
        <v>14266</v>
      </c>
      <c r="G26">
        <f>+C26-(C$7+F26*C$8)</f>
        <v>3.7800000005518086E-2</v>
      </c>
      <c r="K26">
        <f>+G26</f>
        <v>3.7800000005518086E-2</v>
      </c>
      <c r="O26">
        <f ca="1">+C$11+C$12*$F26</f>
        <v>3.7248963697981613E-2</v>
      </c>
      <c r="Q26" s="2">
        <f>+C26-15018.5</f>
        <v>42221.909160000003</v>
      </c>
    </row>
    <row r="27" spans="1:21">
      <c r="A27" s="49" t="s">
        <v>51</v>
      </c>
      <c r="B27" s="50" t="s">
        <v>50</v>
      </c>
      <c r="C27" s="51">
        <v>57246.460919999998</v>
      </c>
      <c r="D27" s="51">
        <v>8.0000000000000004E-4</v>
      </c>
      <c r="E27">
        <f>+(C27-C$7)/C$8</f>
        <v>14281.093342586628</v>
      </c>
      <c r="F27">
        <f>ROUND(2*E27,0)/2</f>
        <v>14281</v>
      </c>
      <c r="G27">
        <f>+C27-(C$7+F27*C$8)</f>
        <v>3.7660000001778826E-2</v>
      </c>
      <c r="K27">
        <f>+G27</f>
        <v>3.7660000001778826E-2</v>
      </c>
      <c r="O27">
        <f ca="1">+C$11+C$12*$F27</f>
        <v>3.7387290112056965E-2</v>
      </c>
      <c r="Q27" s="2">
        <f>+C27-15018.5</f>
        <v>42227.960919999998</v>
      </c>
    </row>
    <row r="28" spans="1:21">
      <c r="A28" s="46" t="s">
        <v>2</v>
      </c>
      <c r="B28" s="47" t="s">
        <v>50</v>
      </c>
      <c r="C28" s="48">
        <v>57500.4395</v>
      </c>
      <c r="D28" s="48">
        <v>1.37E-2</v>
      </c>
      <c r="E28">
        <f>+(C28-C$7)/C$8</f>
        <v>14910.594606652465</v>
      </c>
      <c r="F28">
        <f>ROUND(2*E28,0)/2</f>
        <v>14910.5</v>
      </c>
      <c r="G28">
        <f>+C28-(C$7+F28*C$8)</f>
        <v>3.8170000007085036E-2</v>
      </c>
      <c r="K28">
        <f>+G28</f>
        <v>3.8170000007085036E-2</v>
      </c>
      <c r="O28">
        <f ca="1">+C$11+C$12*$F28</f>
        <v>4.3192388622752459E-2</v>
      </c>
      <c r="Q28" s="2">
        <f>+C28-15018.5</f>
        <v>42481.9395</v>
      </c>
    </row>
    <row r="29" spans="1:21">
      <c r="A29" s="49" t="s">
        <v>51</v>
      </c>
      <c r="B29" s="50" t="s">
        <v>50</v>
      </c>
      <c r="C29" s="51">
        <v>57500.442949999997</v>
      </c>
      <c r="D29" s="51">
        <v>5.9999999999999995E-4</v>
      </c>
      <c r="E29">
        <f>+(C29-C$7)/C$8</f>
        <v>14910.603157686017</v>
      </c>
      <c r="F29">
        <f>ROUND(2*E29,0)/2</f>
        <v>14910.5</v>
      </c>
      <c r="G29">
        <f>+C29-(C$7+F29*C$8)</f>
        <v>4.1620000003604218E-2</v>
      </c>
      <c r="K29">
        <f>+G29</f>
        <v>4.1620000003604218E-2</v>
      </c>
      <c r="O29">
        <f ca="1">+C$11+C$12*$F29</f>
        <v>4.3192388622752459E-2</v>
      </c>
      <c r="Q29" s="2">
        <f>+C29-15018.5</f>
        <v>42481.942949999997</v>
      </c>
    </row>
    <row r="30" spans="1:21">
      <c r="A30" s="41" t="s">
        <v>0</v>
      </c>
      <c r="B30" s="52" t="s">
        <v>50</v>
      </c>
      <c r="C30" s="52">
        <v>57873.450299999997</v>
      </c>
      <c r="D30" s="52">
        <v>1.6000000000000001E-3</v>
      </c>
      <c r="E30">
        <f>+(C30-C$7)/C$8</f>
        <v>15835.124423734695</v>
      </c>
      <c r="F30">
        <f>ROUND(2*E30,0)/2</f>
        <v>15835</v>
      </c>
      <c r="G30">
        <f>+C30-(C$7+F30*C$8)</f>
        <v>5.0199999997857958E-2</v>
      </c>
      <c r="K30">
        <f>+G30</f>
        <v>5.0199999997857958E-2</v>
      </c>
      <c r="O30">
        <f ca="1">+C$11+C$12*$F30</f>
        <v>5.1717906610263209E-2</v>
      </c>
      <c r="Q30" s="2">
        <f>+C30-15018.5</f>
        <v>42854.950299999997</v>
      </c>
    </row>
    <row r="31" spans="1:21">
      <c r="A31" s="41" t="s">
        <v>0</v>
      </c>
      <c r="B31" s="52" t="s">
        <v>50</v>
      </c>
      <c r="C31" s="52">
        <v>57879.502500000002</v>
      </c>
      <c r="D31" s="52">
        <v>2E-3</v>
      </c>
      <c r="E31">
        <f>+(C31-C$7)/C$8</f>
        <v>15850.125167302844</v>
      </c>
      <c r="F31">
        <f>ROUND(2*E31,0)/2</f>
        <v>15850</v>
      </c>
      <c r="G31">
        <f>+C31-(C$7+F31*C$8)</f>
        <v>5.0500000004831236E-2</v>
      </c>
      <c r="K31">
        <f>+G31</f>
        <v>5.0500000004831236E-2</v>
      </c>
      <c r="O31">
        <f ca="1">+C$11+C$12*$F31</f>
        <v>5.1856233024338561E-2</v>
      </c>
      <c r="Q31" s="2">
        <f>+C31-15018.5</f>
        <v>42861.002500000002</v>
      </c>
    </row>
    <row r="32" spans="1:21">
      <c r="A32" s="42" t="s">
        <v>52</v>
      </c>
      <c r="C32" s="8">
        <v>58210.952400000002</v>
      </c>
      <c r="D32" s="8">
        <v>4.0000000000000002E-4</v>
      </c>
      <c r="E32">
        <f>+(C32-C$7)/C$8</f>
        <v>16671.643781291838</v>
      </c>
      <c r="F32">
        <f>ROUND(2*E32,0)/2</f>
        <v>16671.5</v>
      </c>
      <c r="G32">
        <f>+C32-(C$7+F32*C$8)</f>
        <v>5.8010000007925555E-2</v>
      </c>
      <c r="K32">
        <f>+G32</f>
        <v>5.8010000007925555E-2</v>
      </c>
      <c r="O32">
        <f ca="1">+C$11+C$12*$F32</f>
        <v>5.9431909635198565E-2</v>
      </c>
      <c r="Q32" s="2">
        <f>+C32-15018.5</f>
        <v>43192.452400000002</v>
      </c>
    </row>
    <row r="33" spans="1:17">
      <c r="A33" s="53" t="s">
        <v>54</v>
      </c>
      <c r="B33" s="54" t="s">
        <v>50</v>
      </c>
      <c r="C33" s="55">
        <v>59275.509999999776</v>
      </c>
      <c r="D33" s="53">
        <v>1E-3</v>
      </c>
      <c r="E33">
        <f>+(C33-C$7)/C$8</f>
        <v>19310.214147622515</v>
      </c>
      <c r="F33">
        <f>ROUND(2*E33,0)/2</f>
        <v>19310</v>
      </c>
      <c r="G33">
        <f>+C33-(C$7+F33*C$8)</f>
        <v>8.639999978186097E-2</v>
      </c>
      <c r="K33">
        <f>+G33</f>
        <v>8.639999978186097E-2</v>
      </c>
      <c r="O33">
        <f ca="1">+C$11+C$12*$F33</f>
        <v>8.3763525871052597E-2</v>
      </c>
      <c r="Q33" s="2">
        <f>+C33-15018.5</f>
        <v>44257.009999999776</v>
      </c>
    </row>
    <row r="34" spans="1:17">
      <c r="A34" s="53" t="s">
        <v>55</v>
      </c>
      <c r="B34" s="54" t="s">
        <v>50</v>
      </c>
      <c r="C34" s="55">
        <v>59329.371800000001</v>
      </c>
      <c r="D34" s="53">
        <v>1.4E-3</v>
      </c>
      <c r="E34">
        <f>+(C34-C$7)/C$8</f>
        <v>19443.713874981422</v>
      </c>
      <c r="F34">
        <f>ROUND(2*E34,0)/2</f>
        <v>19443.5</v>
      </c>
      <c r="G34">
        <f>+C34-(C$7+F34*C$8)</f>
        <v>8.6290000006556511E-2</v>
      </c>
      <c r="K34">
        <f>+G34</f>
        <v>8.6290000006556511E-2</v>
      </c>
      <c r="O34">
        <f ca="1">+C$11+C$12*$F34</f>
        <v>8.4994630956323231E-2</v>
      </c>
      <c r="Q34" s="2">
        <f>+C34-15018.5</f>
        <v>44310.871800000001</v>
      </c>
    </row>
    <row r="35" spans="1:17">
      <c r="A35" s="42" t="s">
        <v>53</v>
      </c>
      <c r="C35" s="8">
        <v>59354.7886</v>
      </c>
      <c r="D35" s="8">
        <v>2.9999999999999997E-4</v>
      </c>
      <c r="E35">
        <f>+(C35-C$7)/C$8</f>
        <v>19506.710950280085</v>
      </c>
      <c r="F35">
        <f>ROUND(2*E35,0)/2</f>
        <v>19506.5</v>
      </c>
      <c r="G35">
        <f>+C35-(C$7+F35*C$8)</f>
        <v>8.510999999998603E-2</v>
      </c>
      <c r="K35">
        <f>+G35</f>
        <v>8.510999999998603E-2</v>
      </c>
      <c r="O35">
        <f ca="1">+C$11+C$12*$F35</f>
        <v>8.5575601895439696E-2</v>
      </c>
      <c r="Q35" s="2">
        <f>+C35-15018.5</f>
        <v>44336.2886</v>
      </c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sortState xmlns:xlrd2="http://schemas.microsoft.com/office/spreadsheetml/2017/richdata2" ref="A21:Q35">
    <sortCondition ref="C21:C35"/>
  </sortState>
  <phoneticPr fontId="8" type="noConversion"/>
  <hyperlinks>
    <hyperlink ref="H581" r:id="rId1" display="http://vsolj.cetus-net.org/bulletin.html" xr:uid="{00000000-0004-0000-0100-000000000000}"/>
    <hyperlink ref="H64455" r:id="rId2" display="http://vsolj.cetus-net.org/bulletin.html" xr:uid="{00000000-0004-0000-0100-000001000000}"/>
    <hyperlink ref="H64448" r:id="rId3" display="https://www.aavso.org/ejaavso" xr:uid="{00000000-0004-0000-0100-000002000000}"/>
    <hyperlink ref="AP599" r:id="rId4" display="http://cdsbib.u-strasbg.fr/cgi-bin/cdsbib?1990RMxAA..21..381G" xr:uid="{00000000-0004-0000-0100-000003000000}"/>
    <hyperlink ref="AP603" r:id="rId5" display="http://cdsbib.u-strasbg.fr/cgi-bin/cdsbib?1990RMxAA..21..381G" xr:uid="{00000000-0004-0000-0100-000004000000}"/>
    <hyperlink ref="AP602" r:id="rId6" display="http://cdsbib.u-strasbg.fr/cgi-bin/cdsbib?1990RMxAA..21..381G" xr:uid="{00000000-0004-0000-0100-000005000000}"/>
    <hyperlink ref="AP583" r:id="rId7" display="http://cdsbib.u-strasbg.fr/cgi-bin/cdsbib?1990RMxAA..21..381G" xr:uid="{00000000-0004-0000-0100-000006000000}"/>
    <hyperlink ref="I64455" r:id="rId8" display="http://vsolj.cetus-net.org/bulletin.html" xr:uid="{00000000-0004-0000-0100-000007000000}"/>
    <hyperlink ref="AQ739" r:id="rId9" display="http://cdsbib.u-strasbg.fr/cgi-bin/cdsbib?1990RMxAA..21..381G" xr:uid="{00000000-0004-0000-0100-000008000000}"/>
    <hyperlink ref="AQ55505" r:id="rId10" display="http://cdsbib.u-strasbg.fr/cgi-bin/cdsbib?1990RMxAA..21..381G" xr:uid="{00000000-0004-0000-0100-000009000000}"/>
    <hyperlink ref="AQ740" r:id="rId11" display="http://cdsbib.u-strasbg.fr/cgi-bin/cdsbib?1990RMxAA..21..381G" xr:uid="{00000000-0004-0000-0100-00000A000000}"/>
    <hyperlink ref="H64452" r:id="rId12" display="https://www.aavso.org/ejaavso" xr:uid="{00000000-0004-0000-0100-00000B000000}"/>
    <hyperlink ref="H1625" r:id="rId13" display="http://vsolj.cetus-net.org/bulletin.html" xr:uid="{00000000-0004-0000-0100-00000C000000}"/>
    <hyperlink ref="AP2869" r:id="rId14" display="http://cdsbib.u-strasbg.fr/cgi-bin/cdsbib?1990RMxAA..21..381G" xr:uid="{00000000-0004-0000-0100-00000D000000}"/>
    <hyperlink ref="AP2872" r:id="rId15" display="http://cdsbib.u-strasbg.fr/cgi-bin/cdsbib?1990RMxAA..21..381G" xr:uid="{00000000-0004-0000-0100-00000E000000}"/>
    <hyperlink ref="AP2870" r:id="rId16" display="http://cdsbib.u-strasbg.fr/cgi-bin/cdsbib?1990RMxAA..21..381G" xr:uid="{00000000-0004-0000-0100-00000F000000}"/>
    <hyperlink ref="AP2854" r:id="rId17" display="http://cdsbib.u-strasbg.fr/cgi-bin/cdsbib?1990RMxAA..21..381G" xr:uid="{00000000-0004-0000-0100-000010000000}"/>
    <hyperlink ref="I1625" r:id="rId18" display="http://vsolj.cetus-net.org/bulletin.html" xr:uid="{00000000-0004-0000-0100-000011000000}"/>
    <hyperlink ref="AQ3083" r:id="rId19" display="http://cdsbib.u-strasbg.fr/cgi-bin/cdsbib?1990RMxAA..21..381G" xr:uid="{00000000-0004-0000-0100-000012000000}"/>
    <hyperlink ref="AQ65320" r:id="rId20" display="http://cdsbib.u-strasbg.fr/cgi-bin/cdsbib?1990RMxAA..21..381G" xr:uid="{00000000-0004-0000-0100-000013000000}"/>
    <hyperlink ref="AQ3087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2023-01-14T01:53:39Z</dcterms:modified>
</cp:coreProperties>
</file>