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55CA332-7C3A-4514-A575-AD403DA73723}" xr6:coauthVersionLast="47" xr6:coauthVersionMax="47" xr10:uidLastSave="{00000000-0000-0000-0000-000000000000}"/>
  <bookViews>
    <workbookView xWindow="13815" yWindow="55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6" i="1" l="1"/>
  <c r="F46" i="1" s="1"/>
  <c r="G46" i="1" s="1"/>
  <c r="K46" i="1" s="1"/>
  <c r="Q46" i="1"/>
  <c r="E48" i="1"/>
  <c r="F48" i="1" s="1"/>
  <c r="G48" i="1" s="1"/>
  <c r="K48" i="1" s="1"/>
  <c r="Q48" i="1"/>
  <c r="Q45" i="1"/>
  <c r="Q47" i="1"/>
  <c r="Q43" i="1"/>
  <c r="Q44" i="1"/>
  <c r="C21" i="1"/>
  <c r="Q42" i="1"/>
  <c r="Q26" i="1"/>
  <c r="D9" i="1"/>
  <c r="C9" i="1"/>
  <c r="Q25" i="1"/>
  <c r="Q24" i="1"/>
  <c r="Q23" i="1"/>
  <c r="Q22" i="1"/>
  <c r="G24" i="2"/>
  <c r="C24" i="2"/>
  <c r="G23" i="2"/>
  <c r="C23" i="2"/>
  <c r="E23" i="2"/>
  <c r="G22" i="2"/>
  <c r="C22" i="2"/>
  <c r="E22" i="2"/>
  <c r="G21" i="2"/>
  <c r="C21" i="2"/>
  <c r="E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29" i="2"/>
  <c r="C29" i="2"/>
  <c r="E29" i="2"/>
  <c r="G28" i="2"/>
  <c r="C28" i="2"/>
  <c r="G27" i="2"/>
  <c r="C27" i="2"/>
  <c r="G26" i="2"/>
  <c r="C26" i="2"/>
  <c r="G25" i="2"/>
  <c r="C25" i="2"/>
  <c r="G11" i="2"/>
  <c r="C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11" i="2"/>
  <c r="B11" i="2"/>
  <c r="D11" i="2"/>
  <c r="A11" i="2"/>
  <c r="Q38" i="1"/>
  <c r="Q37" i="1"/>
  <c r="Q30" i="1"/>
  <c r="Q32" i="1"/>
  <c r="Q40" i="1"/>
  <c r="Q41" i="1"/>
  <c r="Q31" i="1"/>
  <c r="Q33" i="1"/>
  <c r="Q39" i="1"/>
  <c r="F16" i="1"/>
  <c r="F17" i="1" s="1"/>
  <c r="Q27" i="1"/>
  <c r="Q28" i="1"/>
  <c r="Q29" i="1"/>
  <c r="Q34" i="1"/>
  <c r="Q35" i="1"/>
  <c r="Q36" i="1"/>
  <c r="C7" i="1"/>
  <c r="E45" i="1"/>
  <c r="F45" i="1" s="1"/>
  <c r="G45" i="1" s="1"/>
  <c r="K45" i="1" s="1"/>
  <c r="C8" i="1"/>
  <c r="E29" i="1"/>
  <c r="E14" i="2" s="1"/>
  <c r="F29" i="1"/>
  <c r="C17" i="1"/>
  <c r="Q21" i="1"/>
  <c r="E31" i="1"/>
  <c r="F31" i="1"/>
  <c r="G31" i="1" s="1"/>
  <c r="I31" i="1" s="1"/>
  <c r="E40" i="1"/>
  <c r="F40" i="1"/>
  <c r="G40" i="1" s="1"/>
  <c r="J40" i="1" s="1"/>
  <c r="E32" i="1"/>
  <c r="E16" i="2" s="1"/>
  <c r="F32" i="1"/>
  <c r="G32" i="1" s="1"/>
  <c r="K32" i="1" s="1"/>
  <c r="E26" i="1"/>
  <c r="F26" i="1"/>
  <c r="E41" i="1"/>
  <c r="F41" i="1" s="1"/>
  <c r="G41" i="1" s="1"/>
  <c r="K41" i="1" s="1"/>
  <c r="E35" i="1"/>
  <c r="E18" i="2" s="1"/>
  <c r="F35" i="1"/>
  <c r="G35" i="1" s="1"/>
  <c r="J35" i="1" s="1"/>
  <c r="E23" i="1"/>
  <c r="F23" i="1" s="1"/>
  <c r="G23" i="1" s="1"/>
  <c r="J23" i="1" s="1"/>
  <c r="E21" i="1"/>
  <c r="E11" i="2" s="1"/>
  <c r="F21" i="1"/>
  <c r="E38" i="1"/>
  <c r="F38" i="1"/>
  <c r="G38" i="1" s="1"/>
  <c r="K38" i="1" s="1"/>
  <c r="E28" i="1"/>
  <c r="E13" i="2" s="1"/>
  <c r="F28" i="1"/>
  <c r="G28" i="1" s="1"/>
  <c r="I28" i="1" s="1"/>
  <c r="E39" i="1"/>
  <c r="E25" i="1"/>
  <c r="E28" i="2" s="1"/>
  <c r="F39" i="1"/>
  <c r="E25" i="2"/>
  <c r="E24" i="1"/>
  <c r="F24" i="1"/>
  <c r="G24" i="1" s="1"/>
  <c r="J24" i="1" s="1"/>
  <c r="G37" i="1"/>
  <c r="K37" i="1"/>
  <c r="E22" i="1"/>
  <c r="F22" i="1"/>
  <c r="G22" i="1" s="1"/>
  <c r="J22" i="1" s="1"/>
  <c r="E33" i="1"/>
  <c r="F33" i="1"/>
  <c r="E47" i="1"/>
  <c r="F47" i="1" s="1"/>
  <c r="G47" i="1" s="1"/>
  <c r="K47" i="1" s="1"/>
  <c r="G26" i="1"/>
  <c r="J26" i="1" s="1"/>
  <c r="E37" i="1"/>
  <c r="F37" i="1"/>
  <c r="E34" i="1"/>
  <c r="F34" i="1" s="1"/>
  <c r="G34" i="1" s="1"/>
  <c r="I34" i="1" s="1"/>
  <c r="E30" i="1"/>
  <c r="F30" i="1" s="1"/>
  <c r="G30" i="1" s="1"/>
  <c r="K30" i="1" s="1"/>
  <c r="E44" i="1"/>
  <c r="F44" i="1" s="1"/>
  <c r="G44" i="1" s="1"/>
  <c r="K44" i="1" s="1"/>
  <c r="E42" i="1"/>
  <c r="F42" i="1" s="1"/>
  <c r="G42" i="1" s="1"/>
  <c r="I42" i="1" s="1"/>
  <c r="E27" i="1"/>
  <c r="F27" i="1" s="1"/>
  <c r="G27" i="1" s="1"/>
  <c r="I27" i="1" s="1"/>
  <c r="E43" i="1"/>
  <c r="F43" i="1" s="1"/>
  <c r="G43" i="1" s="1"/>
  <c r="K43" i="1" s="1"/>
  <c r="G39" i="1"/>
  <c r="K39" i="1"/>
  <c r="E36" i="1"/>
  <c r="E19" i="2" s="1"/>
  <c r="G29" i="1"/>
  <c r="I29" i="1" s="1"/>
  <c r="G33" i="1"/>
  <c r="I33" i="1" s="1"/>
  <c r="E20" i="2"/>
  <c r="E15" i="2"/>
  <c r="E17" i="2"/>
  <c r="E27" i="2"/>
  <c r="F36" i="1" l="1"/>
  <c r="G36" i="1" s="1"/>
  <c r="J36" i="1" s="1"/>
  <c r="E26" i="2"/>
  <c r="E12" i="2"/>
  <c r="E24" i="2"/>
  <c r="F25" i="1"/>
  <c r="G25" i="1" s="1"/>
  <c r="C11" i="1"/>
  <c r="C12" i="1"/>
  <c r="C16" i="1" l="1"/>
  <c r="D18" i="1" s="1"/>
  <c r="O34" i="1"/>
  <c r="O21" i="1"/>
  <c r="O23" i="1"/>
  <c r="O37" i="1"/>
  <c r="O43" i="1"/>
  <c r="O41" i="1"/>
  <c r="O42" i="1"/>
  <c r="O31" i="1"/>
  <c r="O47" i="1"/>
  <c r="O45" i="1"/>
  <c r="O33" i="1"/>
  <c r="O27" i="1"/>
  <c r="O29" i="1"/>
  <c r="O36" i="1"/>
  <c r="O40" i="1"/>
  <c r="O30" i="1"/>
  <c r="O25" i="1"/>
  <c r="O44" i="1"/>
  <c r="O26" i="1"/>
  <c r="O48" i="1"/>
  <c r="O35" i="1"/>
  <c r="O28" i="1"/>
  <c r="C15" i="1"/>
  <c r="F18" i="1" s="1"/>
  <c r="F19" i="1" s="1"/>
  <c r="O39" i="1"/>
  <c r="O46" i="1"/>
  <c r="O32" i="1"/>
  <c r="O24" i="1"/>
  <c r="O22" i="1"/>
  <c r="O38" i="1"/>
  <c r="J25" i="1"/>
  <c r="C18" i="1"/>
</calcChain>
</file>

<file path=xl/sharedStrings.xml><?xml version="1.0" encoding="utf-8"?>
<sst xmlns="http://schemas.openxmlformats.org/spreadsheetml/2006/main" count="269" uniqueCount="148">
  <si>
    <t>OEJV 0191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</si>
  <si>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</si>
  <si>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</si>
  <si>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</si>
  <si>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</si>
  <si>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</si>
  <si>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</si>
  <si>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</si>
  <si>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</si>
  <si>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</si>
  <si>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</si>
  <si>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</si>
  <si>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</si>
  <si>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</si>
  <si>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</si>
  <si>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</si>
  <si>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</si>
  <si>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</si>
  <si>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</si>
  <si>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</si>
  <si>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</si>
  <si>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</si>
  <si>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</si>
  <si>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</si>
  <si>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</si>
  <si>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</si>
  <si>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</si>
  <si>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</si>
  <si>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</si>
  <si>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</si>
  <si>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EW/KE</t>
  </si>
  <si>
    <t>IBVS 5463</t>
  </si>
  <si>
    <t>II</t>
  </si>
  <si>
    <t>I</t>
  </si>
  <si>
    <t>1997JAVSO..26...14C</t>
  </si>
  <si>
    <t># of data points:</t>
  </si>
  <si>
    <t>SV Equ / GSC 00525-01015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</si>
  <si>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</si>
  <si>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</si>
  <si>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</si>
  <si>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</si>
  <si>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</si>
  <si>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</si>
  <si>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</si>
  <si>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</si>
  <si>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6011</t>
  </si>
  <si>
    <t>JAVSO..40....1</t>
  </si>
  <si>
    <t>2012JAVSO..40..975</t>
  </si>
  <si>
    <t>IBVS 6070</t>
  </si>
  <si>
    <t>OEJV 0160</t>
  </si>
  <si>
    <t>IBVS 6153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</si>
  <si>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</si>
  <si>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</si>
  <si>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</si>
  <si>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</si>
  <si>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</si>
  <si>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</si>
  <si>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</si>
  <si>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</si>
  <si>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</si>
  <si>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</si>
  <si>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</si>
  <si>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2439382.427 </t>
  </si>
  <si>
    <t> 13.09.1966 22:14 </t>
  </si>
  <si>
    <t> 0.000 </t>
  </si>
  <si>
    <t>E </t>
  </si>
  <si>
    <t>?</t>
  </si>
  <si>
    <t> Catalano &amp; Rodono </t>
  </si>
  <si>
    <t> MSAI 37.809 </t>
  </si>
  <si>
    <t>2448100.5129 </t>
  </si>
  <si>
    <t> 28.07.1990 00:18 </t>
  </si>
  <si>
    <t> 0.1504 </t>
  </si>
  <si>
    <t> F.Agerer </t>
  </si>
  <si>
    <t>BAVM 68 </t>
  </si>
  <si>
    <t>2449207.4554 </t>
  </si>
  <si>
    <t> 07.08.1993 22:55 </t>
  </si>
  <si>
    <t> 0.1164 </t>
  </si>
  <si>
    <t>G</t>
  </si>
  <si>
    <t>2449207.4564 </t>
  </si>
  <si>
    <t> 07.08.1993 22:57 </t>
  </si>
  <si>
    <t> 0.1174 </t>
  </si>
  <si>
    <t>B;V</t>
  </si>
  <si>
    <t>2449211.4211 </t>
  </si>
  <si>
    <t> 11.08.1993 22:06 </t>
  </si>
  <si>
    <t> 0.1176 </t>
  </si>
  <si>
    <t>2449211.4221 </t>
  </si>
  <si>
    <t> 11.08.1993 22:07 </t>
  </si>
  <si>
    <t> 0.1186 </t>
  </si>
  <si>
    <t>2450278.737 </t>
  </si>
  <si>
    <t> 14.07.1996 05:41 </t>
  </si>
  <si>
    <t> 0.102 </t>
  </si>
  <si>
    <t> S.P.Cook </t>
  </si>
  <si>
    <t> JAVSO 26.14 </t>
  </si>
  <si>
    <t>2450281.820 </t>
  </si>
  <si>
    <t> 17.07.1996 07:40 </t>
  </si>
  <si>
    <t> 0.101 </t>
  </si>
  <si>
    <t>2450282.708 </t>
  </si>
  <si>
    <t> 18.07.1996 04:59 </t>
  </si>
  <si>
    <t> 0.108 </t>
  </si>
  <si>
    <t>2450309.550 </t>
  </si>
  <si>
    <t> 14.08.1996 01:12 </t>
  </si>
  <si>
    <t> 0.080 </t>
  </si>
  <si>
    <t>C </t>
  </si>
  <si>
    <t> S.Cook </t>
  </si>
  <si>
    <t> JAAVSO 40;975 </t>
  </si>
  <si>
    <t>2450310.004 </t>
  </si>
  <si>
    <t> 14.08.1996 12:05 </t>
  </si>
  <si>
    <t> 0.093 </t>
  </si>
  <si>
    <t>2450357.593 </t>
  </si>
  <si>
    <t> 01.10.1996 02:13 </t>
  </si>
  <si>
    <t>2452109.3781 </t>
  </si>
  <si>
    <t> 18.07.2001 21:04 </t>
  </si>
  <si>
    <t> 0.0251 </t>
  </si>
  <si>
    <t> Z.Müyesseroglu et al. </t>
  </si>
  <si>
    <t>IBVS 5463 </t>
  </si>
  <si>
    <t>2452489.5202 </t>
  </si>
  <si>
    <t> 03.08.2002 00:29 </t>
  </si>
  <si>
    <t> 0.0157 </t>
  </si>
  <si>
    <t>2453178.4311 </t>
  </si>
  <si>
    <t> 21.06.2004 22:20 </t>
  </si>
  <si>
    <t> -0.0154 </t>
  </si>
  <si>
    <t>BVRI</t>
  </si>
  <si>
    <t> M.Petropoulou et al. </t>
  </si>
  <si>
    <t>IBVS 6153 </t>
  </si>
  <si>
    <t>2453196.4948 </t>
  </si>
  <si>
    <t> 09.07.2004 23:52 </t>
  </si>
  <si>
    <t> -0.0122 </t>
  </si>
  <si>
    <t>2455844.6906 </t>
  </si>
  <si>
    <t> 10.10.2011 04:34 </t>
  </si>
  <si>
    <t> -0.1024 </t>
  </si>
  <si>
    <t> R.Diethelm </t>
  </si>
  <si>
    <t>IBVS 6011 </t>
  </si>
  <si>
    <t>2456116.4739 </t>
  </si>
  <si>
    <t> 07.07.2012 23:22 </t>
  </si>
  <si>
    <t> -0.1076 </t>
  </si>
  <si>
    <t>-I</t>
  </si>
  <si>
    <t> M.&amp; K.Rätz </t>
  </si>
  <si>
    <t>BAVM 231 </t>
  </si>
  <si>
    <t>2456180.34301 </t>
  </si>
  <si>
    <t> 09.09.2012 20:13 </t>
  </si>
  <si>
    <t>19067</t>
  </si>
  <si>
    <t> -0.11099 </t>
  </si>
  <si>
    <t> M.Urbanik </t>
  </si>
  <si>
    <t>OEJV 0160 </t>
  </si>
  <si>
    <t>BAD?</t>
  </si>
  <si>
    <t>JAVSO..48…87</t>
  </si>
  <si>
    <t>OEJV 0211</t>
  </si>
  <si>
    <t>JAVSO, 48,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</si>
</sst>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10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2" fillId="0" borderId="0" xfId="42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2" fillId="0" borderId="0" xfId="43" applyFont="1" applyAlignment="1">
      <alignment horizontal="left"/>
    </xf>
    <xf numFmtId="0" fontId="36" fillId="0" borderId="0" xfId="43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Equ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DC-4FBE-BE34-0233FE16C6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0.10199999999895226</c:v>
                </c:pt>
                <c:pt idx="7">
                  <c:v>0.10149999999703141</c:v>
                </c:pt>
                <c:pt idx="8">
                  <c:v>0.10849999999481952</c:v>
                </c:pt>
                <c:pt idx="10">
                  <c:v>8.000000000174623E-2</c:v>
                </c:pt>
                <c:pt idx="12">
                  <c:v>9.3499999995401595E-2</c:v>
                </c:pt>
                <c:pt idx="13">
                  <c:v>0.10849999999481952</c:v>
                </c:pt>
                <c:pt idx="21">
                  <c:v>-0.14549999999871943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DC-4FBE-BE34-0233FE16C6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0.1503999999986263</c:v>
                </c:pt>
                <c:pt idx="2">
                  <c:v>0.11639999999169959</c:v>
                </c:pt>
                <c:pt idx="3">
                  <c:v>0.11739999999554129</c:v>
                </c:pt>
                <c:pt idx="4">
                  <c:v>0.11759999999776483</c:v>
                </c:pt>
                <c:pt idx="5">
                  <c:v>0.11860000000160653</c:v>
                </c:pt>
                <c:pt idx="14">
                  <c:v>2.5099999998928979E-2</c:v>
                </c:pt>
                <c:pt idx="15">
                  <c:v>1.5699999996286351E-2</c:v>
                </c:pt>
                <c:pt idx="19">
                  <c:v>-0.10760000000300352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DC-4FBE-BE34-0233FE16C6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9">
                  <c:v>8.000000000174623E-2</c:v>
                </c:pt>
                <c:pt idx="11">
                  <c:v>9.3499999995401595E-2</c:v>
                </c:pt>
                <c:pt idx="16">
                  <c:v>-1.5400000003864989E-2</c:v>
                </c:pt>
                <c:pt idx="17">
                  <c:v>-1.2200000004668254E-2</c:v>
                </c:pt>
                <c:pt idx="18">
                  <c:v>-0.10240000000339933</c:v>
                </c:pt>
                <c:pt idx="20">
                  <c:v>-0.11099000000831438</c:v>
                </c:pt>
                <c:pt idx="22">
                  <c:v>-0.16107000001647975</c:v>
                </c:pt>
                <c:pt idx="23">
                  <c:v>-0.16850000000704313</c:v>
                </c:pt>
                <c:pt idx="24">
                  <c:v>-0.20000000000436557</c:v>
                </c:pt>
                <c:pt idx="25">
                  <c:v>-0.20000000000436557</c:v>
                </c:pt>
                <c:pt idx="26">
                  <c:v>-0.19750000000203727</c:v>
                </c:pt>
                <c:pt idx="27">
                  <c:v>-0.19750000000203727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DC-4FBE-BE34-0233FE16C6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DC-4FBE-BE34-0233FE16C6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DC-4FBE-BE34-0233FE16C6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DC-4FBE-BE34-0233FE16C6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0.45600205697549451</c:v>
                </c:pt>
                <c:pt idx="1">
                  <c:v>0.16262752115172696</c:v>
                </c:pt>
                <c:pt idx="2">
                  <c:v>0.12537572950273868</c:v>
                </c:pt>
                <c:pt idx="3">
                  <c:v>0.12537572950273868</c:v>
                </c:pt>
                <c:pt idx="4">
                  <c:v>0.12524231679886244</c:v>
                </c:pt>
                <c:pt idx="5">
                  <c:v>0.12524231679886244</c:v>
                </c:pt>
                <c:pt idx="6">
                  <c:v>8.9324652188636167E-2</c:v>
                </c:pt>
                <c:pt idx="7">
                  <c:v>8.9220886752288009E-2</c:v>
                </c:pt>
                <c:pt idx="8">
                  <c:v>8.9191239484759932E-2</c:v>
                </c:pt>
                <c:pt idx="9">
                  <c:v>8.8286997825154589E-2</c:v>
                </c:pt>
                <c:pt idx="10">
                  <c:v>8.8286997825154589E-2</c:v>
                </c:pt>
                <c:pt idx="11">
                  <c:v>8.8272174191390551E-2</c:v>
                </c:pt>
                <c:pt idx="12">
                  <c:v>8.8272174191390551E-2</c:v>
                </c:pt>
                <c:pt idx="13">
                  <c:v>8.6671221744876126E-2</c:v>
                </c:pt>
                <c:pt idx="14">
                  <c:v>2.7717630265359006E-2</c:v>
                </c:pt>
                <c:pt idx="15">
                  <c:v>1.4924834327007697E-2</c:v>
                </c:pt>
                <c:pt idx="16">
                  <c:v>-8.2593288799233666E-3</c:v>
                </c:pt>
                <c:pt idx="17">
                  <c:v>-8.8670978642482745E-3</c:v>
                </c:pt>
                <c:pt idx="18">
                  <c:v>-9.7986784053551046E-2</c:v>
                </c:pt>
                <c:pt idx="19">
                  <c:v>-0.10713296608595285</c:v>
                </c:pt>
                <c:pt idx="20">
                  <c:v>-0.10928239298173609</c:v>
                </c:pt>
                <c:pt idx="21">
                  <c:v>-0.14697889364364508</c:v>
                </c:pt>
                <c:pt idx="22">
                  <c:v>-0.17016305685057614</c:v>
                </c:pt>
                <c:pt idx="23">
                  <c:v>-0.17117106394652964</c:v>
                </c:pt>
                <c:pt idx="24">
                  <c:v>-0.19598582686750315</c:v>
                </c:pt>
                <c:pt idx="25">
                  <c:v>-0.19598582686750315</c:v>
                </c:pt>
                <c:pt idx="26">
                  <c:v>-0.19608959230385131</c:v>
                </c:pt>
                <c:pt idx="27">
                  <c:v>-0.19608959230385131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DC-4FBE-BE34-0233FE16C612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DC-4FBE-BE34-0233FE16C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6000"/>
        <c:axId val="1"/>
      </c:scatterChart>
      <c:valAx>
        <c:axId val="671956000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6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24249594002687"/>
          <c:y val="0.9204921861831491"/>
          <c:w val="0.791600032225374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Equ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19354838709677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99-414F-83E6-969DBC377F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0.10199999999895226</c:v>
                </c:pt>
                <c:pt idx="7">
                  <c:v>0.10149999999703141</c:v>
                </c:pt>
                <c:pt idx="8">
                  <c:v>0.10849999999481952</c:v>
                </c:pt>
                <c:pt idx="10">
                  <c:v>8.000000000174623E-2</c:v>
                </c:pt>
                <c:pt idx="12">
                  <c:v>9.3499999995401595E-2</c:v>
                </c:pt>
                <c:pt idx="13">
                  <c:v>0.10849999999481952</c:v>
                </c:pt>
                <c:pt idx="21">
                  <c:v>-0.14549999999871943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99-414F-83E6-969DBC377F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0.1503999999986263</c:v>
                </c:pt>
                <c:pt idx="2">
                  <c:v>0.11639999999169959</c:v>
                </c:pt>
                <c:pt idx="3">
                  <c:v>0.11739999999554129</c:v>
                </c:pt>
                <c:pt idx="4">
                  <c:v>0.11759999999776483</c:v>
                </c:pt>
                <c:pt idx="5">
                  <c:v>0.11860000000160653</c:v>
                </c:pt>
                <c:pt idx="14">
                  <c:v>2.5099999998928979E-2</c:v>
                </c:pt>
                <c:pt idx="15">
                  <c:v>1.5699999996286351E-2</c:v>
                </c:pt>
                <c:pt idx="19">
                  <c:v>-0.10760000000300352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99-414F-83E6-969DBC377F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9">
                  <c:v>8.000000000174623E-2</c:v>
                </c:pt>
                <c:pt idx="11">
                  <c:v>9.3499999995401595E-2</c:v>
                </c:pt>
                <c:pt idx="16">
                  <c:v>-1.5400000003864989E-2</c:v>
                </c:pt>
                <c:pt idx="17">
                  <c:v>-1.2200000004668254E-2</c:v>
                </c:pt>
                <c:pt idx="18">
                  <c:v>-0.10240000000339933</c:v>
                </c:pt>
                <c:pt idx="20">
                  <c:v>-0.11099000000831438</c:v>
                </c:pt>
                <c:pt idx="22">
                  <c:v>-0.16107000001647975</c:v>
                </c:pt>
                <c:pt idx="23">
                  <c:v>-0.16850000000704313</c:v>
                </c:pt>
                <c:pt idx="24">
                  <c:v>-0.20000000000436557</c:v>
                </c:pt>
                <c:pt idx="25">
                  <c:v>-0.20000000000436557</c:v>
                </c:pt>
                <c:pt idx="26">
                  <c:v>-0.19750000000203727</c:v>
                </c:pt>
                <c:pt idx="27">
                  <c:v>-0.19750000000203727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99-414F-83E6-969DBC377F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99-414F-83E6-969DBC377F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99-414F-83E6-969DBC377F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3.0000000000000001E-3</c:v>
                  </c:pt>
                  <c:pt idx="8">
                    <c:v>2E-3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2.7000000000000001E-3</c:v>
                  </c:pt>
                  <c:pt idx="16">
                    <c:v>1.6000000000000001E-3</c:v>
                  </c:pt>
                  <c:pt idx="17">
                    <c:v>1.8E-3</c:v>
                  </c:pt>
                  <c:pt idx="18">
                    <c:v>1.2E-2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6.9999999999999999E-4</c:v>
                  </c:pt>
                  <c:pt idx="23">
                    <c:v>0.02</c:v>
                  </c:pt>
                  <c:pt idx="24">
                    <c:v>8.9999999999999998E-4</c:v>
                  </c:pt>
                  <c:pt idx="25">
                    <c:v>8.9999999999999998E-4</c:v>
                  </c:pt>
                  <c:pt idx="26">
                    <c:v>1.6999999999999999E-3</c:v>
                  </c:pt>
                  <c:pt idx="27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99-414F-83E6-969DBC377F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0.45600205697549451</c:v>
                </c:pt>
                <c:pt idx="1">
                  <c:v>0.16262752115172696</c:v>
                </c:pt>
                <c:pt idx="2">
                  <c:v>0.12537572950273868</c:v>
                </c:pt>
                <c:pt idx="3">
                  <c:v>0.12537572950273868</c:v>
                </c:pt>
                <c:pt idx="4">
                  <c:v>0.12524231679886244</c:v>
                </c:pt>
                <c:pt idx="5">
                  <c:v>0.12524231679886244</c:v>
                </c:pt>
                <c:pt idx="6">
                  <c:v>8.9324652188636167E-2</c:v>
                </c:pt>
                <c:pt idx="7">
                  <c:v>8.9220886752288009E-2</c:v>
                </c:pt>
                <c:pt idx="8">
                  <c:v>8.9191239484759932E-2</c:v>
                </c:pt>
                <c:pt idx="9">
                  <c:v>8.8286997825154589E-2</c:v>
                </c:pt>
                <c:pt idx="10">
                  <c:v>8.8286997825154589E-2</c:v>
                </c:pt>
                <c:pt idx="11">
                  <c:v>8.8272174191390551E-2</c:v>
                </c:pt>
                <c:pt idx="12">
                  <c:v>8.8272174191390551E-2</c:v>
                </c:pt>
                <c:pt idx="13">
                  <c:v>8.6671221744876126E-2</c:v>
                </c:pt>
                <c:pt idx="14">
                  <c:v>2.7717630265359006E-2</c:v>
                </c:pt>
                <c:pt idx="15">
                  <c:v>1.4924834327007697E-2</c:v>
                </c:pt>
                <c:pt idx="16">
                  <c:v>-8.2593288799233666E-3</c:v>
                </c:pt>
                <c:pt idx="17">
                  <c:v>-8.8670978642482745E-3</c:v>
                </c:pt>
                <c:pt idx="18">
                  <c:v>-9.7986784053551046E-2</c:v>
                </c:pt>
                <c:pt idx="19">
                  <c:v>-0.10713296608595285</c:v>
                </c:pt>
                <c:pt idx="20">
                  <c:v>-0.10928239298173609</c:v>
                </c:pt>
                <c:pt idx="21">
                  <c:v>-0.14697889364364508</c:v>
                </c:pt>
                <c:pt idx="22">
                  <c:v>-0.17016305685057614</c:v>
                </c:pt>
                <c:pt idx="23">
                  <c:v>-0.17117106394652964</c:v>
                </c:pt>
                <c:pt idx="24">
                  <c:v>-0.19598582686750315</c:v>
                </c:pt>
                <c:pt idx="25">
                  <c:v>-0.19598582686750315</c:v>
                </c:pt>
                <c:pt idx="26">
                  <c:v>-0.19608959230385131</c:v>
                </c:pt>
                <c:pt idx="27">
                  <c:v>-0.19608959230385131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99-414F-83E6-969DBC377F64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9895.5</c:v>
                </c:pt>
                <c:pt idx="2">
                  <c:v>11152</c:v>
                </c:pt>
                <c:pt idx="3">
                  <c:v>11152</c:v>
                </c:pt>
                <c:pt idx="4">
                  <c:v>11156.5</c:v>
                </c:pt>
                <c:pt idx="5">
                  <c:v>11156.5</c:v>
                </c:pt>
                <c:pt idx="6">
                  <c:v>12368</c:v>
                </c:pt>
                <c:pt idx="7">
                  <c:v>12371.5</c:v>
                </c:pt>
                <c:pt idx="8">
                  <c:v>12372.5</c:v>
                </c:pt>
                <c:pt idx="9">
                  <c:v>12403</c:v>
                </c:pt>
                <c:pt idx="10">
                  <c:v>12403</c:v>
                </c:pt>
                <c:pt idx="11">
                  <c:v>12403.5</c:v>
                </c:pt>
                <c:pt idx="12">
                  <c:v>12403.5</c:v>
                </c:pt>
                <c:pt idx="13">
                  <c:v>12457.5</c:v>
                </c:pt>
                <c:pt idx="14">
                  <c:v>14446</c:v>
                </c:pt>
                <c:pt idx="15">
                  <c:v>14877.5</c:v>
                </c:pt>
                <c:pt idx="16">
                  <c:v>15659.5</c:v>
                </c:pt>
                <c:pt idx="17">
                  <c:v>15680</c:v>
                </c:pt>
                <c:pt idx="18">
                  <c:v>18686</c:v>
                </c:pt>
                <c:pt idx="19">
                  <c:v>18994.5</c:v>
                </c:pt>
                <c:pt idx="20">
                  <c:v>19067</c:v>
                </c:pt>
                <c:pt idx="21">
                  <c:v>20338.5</c:v>
                </c:pt>
                <c:pt idx="22">
                  <c:v>21120.5</c:v>
                </c:pt>
                <c:pt idx="23">
                  <c:v>21154.5</c:v>
                </c:pt>
                <c:pt idx="24">
                  <c:v>21991.5</c:v>
                </c:pt>
                <c:pt idx="25">
                  <c:v>21991.5</c:v>
                </c:pt>
                <c:pt idx="26">
                  <c:v>21995</c:v>
                </c:pt>
                <c:pt idx="27">
                  <c:v>21995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99-414F-83E6-969DBC377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7312"/>
        <c:axId val="1"/>
      </c:scatterChart>
      <c:valAx>
        <c:axId val="6719573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7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77419354838708"/>
          <c:y val="0.92073170731707321"/>
          <c:w val="0.7919354838709677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38100</xdr:rowOff>
    </xdr:from>
    <xdr:to>
      <xdr:col>16</xdr:col>
      <xdr:colOff>361950</xdr:colOff>
      <xdr:row>18</xdr:row>
      <xdr:rowOff>76200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996A810D-D222-010F-7F20-237D5A78D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123825</xdr:colOff>
      <xdr:row>0</xdr:row>
      <xdr:rowOff>0</xdr:rowOff>
    </xdr:from>
    <xdr:to>
      <xdr:col>25</xdr:col>
      <xdr:colOff>542925</xdr:colOff>
      <xdr:row>18</xdr:row>
      <xdr:rowOff>47625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6DD957BF-3A37-1033-1846-E0FAAB4B7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153" TargetMode="External"/><Relationship Id="rId3" Type="http://schemas.openxmlformats.org/officeDocument/2006/relationships/hyperlink" Target="http://www.bav-astro.de/sfs/BAVM_link.php?BAVMnr=68" TargetMode="External"/><Relationship Id="rId7" Type="http://schemas.openxmlformats.org/officeDocument/2006/relationships/hyperlink" Target="http://www.konkoly.hu/cgi-bin/IBVS?5463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8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konkoly.hu/cgi-bin/IBVS?5463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68" TargetMode="External"/><Relationship Id="rId10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konkoly.hu/cgi-bin/IBVS?6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35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26</v>
      </c>
      <c r="B2" s="10" t="s">
        <v>30</v>
      </c>
    </row>
    <row r="4" spans="1:6" ht="14.25" thickTop="1" thickBot="1" x14ac:dyDescent="0.25">
      <c r="A4" s="7" t="s">
        <v>2</v>
      </c>
      <c r="C4" s="3">
        <v>39382.427000000003</v>
      </c>
      <c r="D4" s="4">
        <v>0.88100000000000001</v>
      </c>
    </row>
    <row r="5" spans="1:6" ht="13.5" thickTop="1" x14ac:dyDescent="0.2">
      <c r="A5" s="13" t="s">
        <v>37</v>
      </c>
      <c r="B5" s="10"/>
      <c r="C5" s="14">
        <v>-9.5</v>
      </c>
      <c r="D5" s="10" t="s">
        <v>38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39382.427000000003</v>
      </c>
    </row>
    <row r="8" spans="1:6" x14ac:dyDescent="0.2">
      <c r="A8" t="s">
        <v>5</v>
      </c>
      <c r="C8">
        <f>+D4</f>
        <v>0.88100000000000001</v>
      </c>
    </row>
    <row r="9" spans="1:6" x14ac:dyDescent="0.2">
      <c r="A9" s="27" t="s">
        <v>44</v>
      </c>
      <c r="B9" s="28">
        <v>21</v>
      </c>
      <c r="C9" s="16" t="str">
        <f>"F"&amp;B9</f>
        <v>F21</v>
      </c>
      <c r="D9" s="17" t="str">
        <f>"G"&amp;B9</f>
        <v>G21</v>
      </c>
    </row>
    <row r="10" spans="1:6" ht="13.5" thickBot="1" x14ac:dyDescent="0.25">
      <c r="A10" s="10"/>
      <c r="B10" s="10"/>
      <c r="C10" s="6" t="s">
        <v>22</v>
      </c>
      <c r="D10" s="6" t="s">
        <v>23</v>
      </c>
      <c r="E10" s="10"/>
    </row>
    <row r="11" spans="1:6" x14ac:dyDescent="0.2">
      <c r="A11" s="10" t="s">
        <v>18</v>
      </c>
      <c r="B11" s="10"/>
      <c r="C11" s="15">
        <f ca="1">INTERCEPT(INDIRECT($D$9):G992,INDIRECT($C$9):F992)</f>
        <v>0.45600205697549451</v>
      </c>
      <c r="D11" s="5"/>
      <c r="E11" s="10"/>
    </row>
    <row r="12" spans="1:6" x14ac:dyDescent="0.2">
      <c r="A12" s="10" t="s">
        <v>19</v>
      </c>
      <c r="B12" s="10"/>
      <c r="C12" s="15">
        <f ca="1">SLOPE(INDIRECT($D$9):G992,INDIRECT($C$9):F992)</f>
        <v>-2.9647267528044821E-5</v>
      </c>
      <c r="D12" s="5"/>
      <c r="E12" s="10"/>
    </row>
    <row r="13" spans="1:6" x14ac:dyDescent="0.2">
      <c r="A13" s="10" t="s">
        <v>21</v>
      </c>
      <c r="B13" s="10"/>
      <c r="C13" s="5" t="s">
        <v>16</v>
      </c>
    </row>
    <row r="14" spans="1:6" x14ac:dyDescent="0.2">
      <c r="A14" s="10"/>
      <c r="B14" s="10"/>
      <c r="C14" s="10"/>
    </row>
    <row r="15" spans="1:6" x14ac:dyDescent="0.2">
      <c r="A15" s="20" t="s">
        <v>20</v>
      </c>
      <c r="B15" s="10"/>
      <c r="C15" s="21">
        <f ca="1">(C7+C11)+(C8+C12)*INT(MAX(F21:F3533))</f>
        <v>58759.825910407701</v>
      </c>
      <c r="E15" s="18" t="s">
        <v>39</v>
      </c>
      <c r="F15" s="14">
        <v>1</v>
      </c>
    </row>
    <row r="16" spans="1:6" x14ac:dyDescent="0.2">
      <c r="A16" s="22" t="s">
        <v>6</v>
      </c>
      <c r="B16" s="10"/>
      <c r="C16" s="23">
        <f ca="1">+C8+C12</f>
        <v>0.88097035273247193</v>
      </c>
      <c r="E16" s="18" t="s">
        <v>40</v>
      </c>
      <c r="F16" s="19">
        <f ca="1">NOW()+15018.5+$C$5/24</f>
        <v>59958.698720486107</v>
      </c>
    </row>
    <row r="17" spans="1:21" ht="13.5" thickBot="1" x14ac:dyDescent="0.25">
      <c r="A17" s="18" t="s">
        <v>35</v>
      </c>
      <c r="B17" s="10"/>
      <c r="C17" s="10">
        <f>COUNT(C21:C2191)</f>
        <v>28</v>
      </c>
      <c r="E17" s="18" t="s">
        <v>41</v>
      </c>
      <c r="F17" s="19">
        <f ca="1">ROUND(2*(F16-$C$7)/$C$8,0)/2+F15</f>
        <v>23356.5</v>
      </c>
    </row>
    <row r="18" spans="1:21" ht="14.25" thickTop="1" thickBot="1" x14ac:dyDescent="0.25">
      <c r="A18" s="22" t="s">
        <v>7</v>
      </c>
      <c r="B18" s="10"/>
      <c r="C18" s="25">
        <f ca="1">+C15</f>
        <v>58759.825910407701</v>
      </c>
      <c r="D18" s="26">
        <f ca="1">+C16</f>
        <v>0.88097035273247193</v>
      </c>
      <c r="E18" s="18" t="s">
        <v>42</v>
      </c>
      <c r="F18" s="17">
        <f ca="1">ROUND(2*(F16-$C$15)/$C$16,0)/2+F15</f>
        <v>1362</v>
      </c>
    </row>
    <row r="19" spans="1:21" ht="13.5" thickTop="1" x14ac:dyDescent="0.2">
      <c r="E19" s="18" t="s">
        <v>43</v>
      </c>
      <c r="F19" s="24">
        <f ca="1">+$C$15+$C$16*F18-15018.5-$C$5/24</f>
        <v>44941.603364162664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58</v>
      </c>
      <c r="I20" s="9" t="s">
        <v>61</v>
      </c>
      <c r="J20" s="9" t="s">
        <v>55</v>
      </c>
      <c r="K20" s="9" t="s">
        <v>53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U20" s="52" t="s">
        <v>144</v>
      </c>
    </row>
    <row r="21" spans="1:21" x14ac:dyDescent="0.2">
      <c r="A21" t="s">
        <v>14</v>
      </c>
      <c r="B21" s="5"/>
      <c r="C21" s="12">
        <f>+C4</f>
        <v>39382.427000000003</v>
      </c>
      <c r="D21" s="12" t="s">
        <v>16</v>
      </c>
      <c r="E21">
        <f>+(C21-C$7)/C$8</f>
        <v>0</v>
      </c>
      <c r="F21">
        <f>ROUND(2*E21,0)/2</f>
        <v>0</v>
      </c>
      <c r="H21">
        <v>0</v>
      </c>
      <c r="O21">
        <f ca="1">+C$11+C$12*$F21</f>
        <v>0.45600205697549451</v>
      </c>
      <c r="Q21" s="2">
        <f>+C21-15018.5</f>
        <v>24363.927000000003</v>
      </c>
    </row>
    <row r="22" spans="1:21" x14ac:dyDescent="0.2">
      <c r="A22" s="49" t="s">
        <v>73</v>
      </c>
      <c r="B22" s="51" t="s">
        <v>32</v>
      </c>
      <c r="C22" s="50">
        <v>48100.512900000002</v>
      </c>
      <c r="D22" s="50" t="s">
        <v>61</v>
      </c>
      <c r="E22">
        <f>+(C22-C$7)/C$8</f>
        <v>9895.6707150964794</v>
      </c>
      <c r="F22">
        <f>ROUND(2*E22,0)/2</f>
        <v>9895.5</v>
      </c>
      <c r="G22">
        <f>+C22-(C$7+F22*C$8)</f>
        <v>0.1503999999986263</v>
      </c>
      <c r="J22">
        <f>+G22</f>
        <v>0.1503999999986263</v>
      </c>
      <c r="O22">
        <f ca="1">+C$11+C$12*$F22</f>
        <v>0.16262752115172696</v>
      </c>
      <c r="Q22" s="2">
        <f>+C22-15018.5</f>
        <v>33082.012900000002</v>
      </c>
    </row>
    <row r="23" spans="1:21" x14ac:dyDescent="0.2">
      <c r="A23" s="49" t="s">
        <v>73</v>
      </c>
      <c r="B23" s="51" t="s">
        <v>33</v>
      </c>
      <c r="C23" s="50">
        <v>49207.455399999999</v>
      </c>
      <c r="D23" s="50" t="s">
        <v>61</v>
      </c>
      <c r="E23">
        <f>+(C23-C$7)/C$8</f>
        <v>11152.132122587964</v>
      </c>
      <c r="F23">
        <f>ROUND(2*E23,0)/2</f>
        <v>11152</v>
      </c>
      <c r="G23">
        <f>+C23-(C$7+F23*C$8)</f>
        <v>0.11639999999169959</v>
      </c>
      <c r="J23">
        <f>+G23</f>
        <v>0.11639999999169959</v>
      </c>
      <c r="O23">
        <f ca="1">+C$11+C$12*$F23</f>
        <v>0.12537572950273868</v>
      </c>
      <c r="Q23" s="2">
        <f>+C23-15018.5</f>
        <v>34188.955399999999</v>
      </c>
    </row>
    <row r="24" spans="1:21" x14ac:dyDescent="0.2">
      <c r="A24" s="49" t="s">
        <v>73</v>
      </c>
      <c r="B24" s="51" t="s">
        <v>33</v>
      </c>
      <c r="C24" s="50">
        <v>49207.456400000003</v>
      </c>
      <c r="D24" s="50" t="s">
        <v>61</v>
      </c>
      <c r="E24">
        <f>+(C24-C$7)/C$8</f>
        <v>11152.133257661748</v>
      </c>
      <c r="F24">
        <f>ROUND(2*E24,0)/2</f>
        <v>11152</v>
      </c>
      <c r="G24">
        <f>+C24-(C$7+F24*C$8)</f>
        <v>0.11739999999554129</v>
      </c>
      <c r="J24">
        <f>+G24</f>
        <v>0.11739999999554129</v>
      </c>
      <c r="O24">
        <f ca="1">+C$11+C$12*$F24</f>
        <v>0.12537572950273868</v>
      </c>
      <c r="Q24" s="2">
        <f>+C24-15018.5</f>
        <v>34188.956400000003</v>
      </c>
    </row>
    <row r="25" spans="1:21" x14ac:dyDescent="0.2">
      <c r="A25" s="49" t="s">
        <v>73</v>
      </c>
      <c r="B25" s="51" t="s">
        <v>32</v>
      </c>
      <c r="C25" s="50">
        <v>49211.4211</v>
      </c>
      <c r="D25" s="50" t="s">
        <v>61</v>
      </c>
      <c r="E25">
        <f>+(C25-C$7)/C$8</f>
        <v>11156.6334846765</v>
      </c>
      <c r="F25">
        <f>ROUND(2*E25,0)/2</f>
        <v>11156.5</v>
      </c>
      <c r="G25">
        <f>+C25-(C$7+F25*C$8)</f>
        <v>0.11759999999776483</v>
      </c>
      <c r="J25">
        <f>+G25</f>
        <v>0.11759999999776483</v>
      </c>
      <c r="O25">
        <f ca="1">+C$11+C$12*$F25</f>
        <v>0.12524231679886244</v>
      </c>
      <c r="Q25" s="2">
        <f>+C25-15018.5</f>
        <v>34192.9211</v>
      </c>
    </row>
    <row r="26" spans="1:21" x14ac:dyDescent="0.2">
      <c r="A26" s="49" t="s">
        <v>73</v>
      </c>
      <c r="B26" s="51" t="s">
        <v>32</v>
      </c>
      <c r="C26" s="50">
        <v>49211.422100000003</v>
      </c>
      <c r="D26" s="50" t="s">
        <v>61</v>
      </c>
      <c r="E26">
        <f>+(C26-C$7)/C$8</f>
        <v>11156.634619750284</v>
      </c>
      <c r="F26">
        <f>ROUND(2*E26,0)/2</f>
        <v>11156.5</v>
      </c>
      <c r="G26">
        <f>+C26-(C$7+F26*C$8)</f>
        <v>0.11860000000160653</v>
      </c>
      <c r="J26">
        <f>+G26</f>
        <v>0.11860000000160653</v>
      </c>
      <c r="O26">
        <f ca="1">+C$11+C$12*$F26</f>
        <v>0.12524231679886244</v>
      </c>
      <c r="Q26" s="2">
        <f>+C26-15018.5</f>
        <v>34192.922100000003</v>
      </c>
    </row>
    <row r="27" spans="1:21" x14ac:dyDescent="0.2">
      <c r="A27" s="11" t="s">
        <v>34</v>
      </c>
      <c r="B27" s="5" t="s">
        <v>32</v>
      </c>
      <c r="C27" s="12">
        <v>50278.737000000001</v>
      </c>
      <c r="D27" s="12"/>
      <c r="E27">
        <f>+(C27-C$7)/C$8</f>
        <v>12368.115777525536</v>
      </c>
      <c r="F27">
        <f>ROUND(2*E27,0)/2</f>
        <v>12368</v>
      </c>
      <c r="G27">
        <f>+C27-(C$7+F27*C$8)</f>
        <v>0.10199999999895226</v>
      </c>
      <c r="I27">
        <f>+G27</f>
        <v>0.10199999999895226</v>
      </c>
      <c r="O27">
        <f ca="1">+C$11+C$12*$F27</f>
        <v>8.9324652188636167E-2</v>
      </c>
      <c r="Q27" s="2">
        <f>+C27-15018.5</f>
        <v>35260.237000000001</v>
      </c>
      <c r="R27" s="11"/>
    </row>
    <row r="28" spans="1:21" x14ac:dyDescent="0.2">
      <c r="A28" s="11" t="s">
        <v>34</v>
      </c>
      <c r="B28" s="5" t="s">
        <v>33</v>
      </c>
      <c r="C28" s="12">
        <v>50281.82</v>
      </c>
      <c r="D28" s="12">
        <v>3.0000000000000001E-3</v>
      </c>
      <c r="E28">
        <f>+(C28-C$7)/C$8</f>
        <v>12371.615209988646</v>
      </c>
      <c r="F28">
        <f>ROUND(2*E28,0)/2</f>
        <v>12371.5</v>
      </c>
      <c r="G28">
        <f>+C28-(C$7+F28*C$8)</f>
        <v>0.10149999999703141</v>
      </c>
      <c r="I28">
        <f>+G28</f>
        <v>0.10149999999703141</v>
      </c>
      <c r="O28">
        <f ca="1">+C$11+C$12*$F28</f>
        <v>8.9220886752288009E-2</v>
      </c>
      <c r="Q28" s="2">
        <f>+C28-15018.5</f>
        <v>35263.32</v>
      </c>
    </row>
    <row r="29" spans="1:21" x14ac:dyDescent="0.2">
      <c r="A29" s="11" t="s">
        <v>34</v>
      </c>
      <c r="B29" s="29" t="s">
        <v>33</v>
      </c>
      <c r="C29" s="30">
        <v>50282.707999999999</v>
      </c>
      <c r="D29" s="30">
        <v>2E-3</v>
      </c>
      <c r="E29">
        <f>+(C29-C$7)/C$8</f>
        <v>12372.623155505102</v>
      </c>
      <c r="F29">
        <f>ROUND(2*E29,0)/2</f>
        <v>12372.5</v>
      </c>
      <c r="G29">
        <f>+C29-(C$7+F29*C$8)</f>
        <v>0.10849999999481952</v>
      </c>
      <c r="I29">
        <f>+G29</f>
        <v>0.10849999999481952</v>
      </c>
      <c r="O29">
        <f ca="1">+C$11+C$12*$F29</f>
        <v>8.9191239484759932E-2</v>
      </c>
      <c r="Q29" s="2">
        <f>+C29-15018.5</f>
        <v>35264.207999999999</v>
      </c>
    </row>
    <row r="30" spans="1:21" x14ac:dyDescent="0.2">
      <c r="A30" s="31" t="s">
        <v>47</v>
      </c>
      <c r="B30" s="29" t="s">
        <v>33</v>
      </c>
      <c r="C30" s="30">
        <v>50309.55</v>
      </c>
      <c r="D30" s="30"/>
      <c r="E30">
        <f>+(C30-C$7)/C$8</f>
        <v>12403.090805902382</v>
      </c>
      <c r="F30">
        <f>ROUND(2*E30,0)/2</f>
        <v>12403</v>
      </c>
      <c r="G30">
        <f>+C30-(C$7+F30*C$8)</f>
        <v>8.000000000174623E-2</v>
      </c>
      <c r="K30">
        <f>+G30</f>
        <v>8.000000000174623E-2</v>
      </c>
      <c r="O30">
        <f ca="1">+C$11+C$12*$F30</f>
        <v>8.8286997825154589E-2</v>
      </c>
      <c r="Q30" s="2">
        <f>+C30-15018.5</f>
        <v>35291.050000000003</v>
      </c>
    </row>
    <row r="31" spans="1:21" x14ac:dyDescent="0.2">
      <c r="A31" s="31" t="s">
        <v>46</v>
      </c>
      <c r="B31" s="29" t="s">
        <v>33</v>
      </c>
      <c r="C31" s="30">
        <v>50309.55</v>
      </c>
      <c r="D31" s="30"/>
      <c r="E31">
        <f>+(C31-C$7)/C$8</f>
        <v>12403.090805902382</v>
      </c>
      <c r="F31">
        <f>ROUND(2*E31,0)/2</f>
        <v>12403</v>
      </c>
      <c r="G31">
        <f>+C31-(C$7+F31*C$8)</f>
        <v>8.000000000174623E-2</v>
      </c>
      <c r="I31">
        <f>+G31</f>
        <v>8.000000000174623E-2</v>
      </c>
      <c r="O31">
        <f ca="1">+C$11+C$12*$F31</f>
        <v>8.8286997825154589E-2</v>
      </c>
      <c r="Q31" s="2">
        <f>+C31-15018.5</f>
        <v>35291.050000000003</v>
      </c>
    </row>
    <row r="32" spans="1:21" x14ac:dyDescent="0.2">
      <c r="A32" s="31" t="s">
        <v>47</v>
      </c>
      <c r="B32" s="29" t="s">
        <v>32</v>
      </c>
      <c r="C32" s="30">
        <v>50310.004000000001</v>
      </c>
      <c r="D32" s="30"/>
      <c r="E32">
        <f>+(C32-C$7)/C$8</f>
        <v>12403.606129398408</v>
      </c>
      <c r="F32">
        <f>ROUND(2*E32,0)/2</f>
        <v>12403.5</v>
      </c>
      <c r="G32">
        <f>+C32-(C$7+F32*C$8)</f>
        <v>9.3499999995401595E-2</v>
      </c>
      <c r="K32">
        <f>+G32</f>
        <v>9.3499999995401595E-2</v>
      </c>
      <c r="O32">
        <f ca="1">+C$11+C$12*$F32</f>
        <v>8.8272174191390551E-2</v>
      </c>
      <c r="Q32" s="2">
        <f>+C32-15018.5</f>
        <v>35291.504000000001</v>
      </c>
    </row>
    <row r="33" spans="1:17" x14ac:dyDescent="0.2">
      <c r="A33" s="31" t="s">
        <v>46</v>
      </c>
      <c r="B33" s="29" t="s">
        <v>32</v>
      </c>
      <c r="C33" s="30">
        <v>50310.004000000001</v>
      </c>
      <c r="D33" s="30"/>
      <c r="E33">
        <f>+(C33-C$7)/C$8</f>
        <v>12403.606129398408</v>
      </c>
      <c r="F33">
        <f>ROUND(2*E33,0)/2</f>
        <v>12403.5</v>
      </c>
      <c r="G33">
        <f>+C33-(C$7+F33*C$8)</f>
        <v>9.3499999995401595E-2</v>
      </c>
      <c r="I33">
        <f>+G33</f>
        <v>9.3499999995401595E-2</v>
      </c>
      <c r="O33">
        <f ca="1">+C$11+C$12*$F33</f>
        <v>8.8272174191390551E-2</v>
      </c>
      <c r="Q33" s="2">
        <f>+C33-15018.5</f>
        <v>35291.504000000001</v>
      </c>
    </row>
    <row r="34" spans="1:17" x14ac:dyDescent="0.2">
      <c r="A34" s="11" t="s">
        <v>34</v>
      </c>
      <c r="B34" s="29" t="s">
        <v>33</v>
      </c>
      <c r="C34" s="30">
        <v>50357.593000000001</v>
      </c>
      <c r="D34" s="30">
        <v>1E-3</v>
      </c>
      <c r="E34">
        <f>+(C34-C$7)/C$8</f>
        <v>12457.623155505105</v>
      </c>
      <c r="F34">
        <f>ROUND(2*E34,0)/2</f>
        <v>12457.5</v>
      </c>
      <c r="G34">
        <f>+C34-(C$7+F34*C$8)</f>
        <v>0.10849999999481952</v>
      </c>
      <c r="I34">
        <f>+G34</f>
        <v>0.10849999999481952</v>
      </c>
      <c r="O34">
        <f ca="1">+C$11+C$12*$F34</f>
        <v>8.6671221744876126E-2</v>
      </c>
      <c r="Q34" s="2">
        <f>+C34-15018.5</f>
        <v>35339.093000000001</v>
      </c>
    </row>
    <row r="35" spans="1:17" x14ac:dyDescent="0.2">
      <c r="A35" s="32" t="s">
        <v>31</v>
      </c>
      <c r="B35" s="33" t="s">
        <v>32</v>
      </c>
      <c r="C35" s="34">
        <v>52109.378100000002</v>
      </c>
      <c r="D35" s="35">
        <v>3.2000000000000002E-3</v>
      </c>
      <c r="E35">
        <f>+(C35-C$7)/C$8</f>
        <v>14446.028490351871</v>
      </c>
      <c r="F35">
        <f>ROUND(2*E35,0)/2</f>
        <v>14446</v>
      </c>
      <c r="G35">
        <f>+C35-(C$7+F35*C$8)</f>
        <v>2.5099999998928979E-2</v>
      </c>
      <c r="J35">
        <f>+G35</f>
        <v>2.5099999998928979E-2</v>
      </c>
      <c r="O35">
        <f ca="1">+C$11+C$12*$F35</f>
        <v>2.7717630265359006E-2</v>
      </c>
      <c r="Q35" s="2">
        <f>+C35-15018.5</f>
        <v>37090.878100000002</v>
      </c>
    </row>
    <row r="36" spans="1:17" x14ac:dyDescent="0.2">
      <c r="A36" s="32" t="s">
        <v>31</v>
      </c>
      <c r="B36" s="33" t="s">
        <v>33</v>
      </c>
      <c r="C36" s="34">
        <v>52489.520199999999</v>
      </c>
      <c r="D36" s="35">
        <v>2.7000000000000001E-3</v>
      </c>
      <c r="E36">
        <f>+(C36-C$7)/C$8</f>
        <v>14877.517820658339</v>
      </c>
      <c r="F36">
        <f>ROUND(2*E36,0)/2</f>
        <v>14877.5</v>
      </c>
      <c r="G36">
        <f>+C36-(C$7+F36*C$8)</f>
        <v>1.5699999996286351E-2</v>
      </c>
      <c r="J36">
        <f>+G36</f>
        <v>1.5699999996286351E-2</v>
      </c>
      <c r="O36">
        <f ca="1">+C$11+C$12*$F36</f>
        <v>1.4924834327007697E-2</v>
      </c>
      <c r="Q36" s="2">
        <f>+C36-15018.5</f>
        <v>37471.020199999999</v>
      </c>
    </row>
    <row r="37" spans="1:17" x14ac:dyDescent="0.2">
      <c r="A37" s="30" t="s">
        <v>50</v>
      </c>
      <c r="B37" s="29" t="s">
        <v>33</v>
      </c>
      <c r="C37" s="30">
        <v>53178.431100000002</v>
      </c>
      <c r="D37" s="30">
        <v>1.6000000000000001E-3</v>
      </c>
      <c r="E37">
        <f>+(C37-C$7)/C$8</f>
        <v>15659.48251986379</v>
      </c>
      <c r="F37">
        <f>ROUND(2*E37,0)/2</f>
        <v>15659.5</v>
      </c>
      <c r="G37">
        <f>+C37-(C$7+F37*C$8)</f>
        <v>-1.5400000003864989E-2</v>
      </c>
      <c r="K37">
        <f>+G37</f>
        <v>-1.5400000003864989E-2</v>
      </c>
      <c r="O37">
        <f ca="1">+C$11+C$12*$F37</f>
        <v>-8.2593288799233666E-3</v>
      </c>
      <c r="Q37" s="2">
        <f>+C37-15018.5</f>
        <v>38159.931100000002</v>
      </c>
    </row>
    <row r="38" spans="1:17" x14ac:dyDescent="0.2">
      <c r="A38" s="30" t="s">
        <v>50</v>
      </c>
      <c r="B38" s="29" t="s">
        <v>32</v>
      </c>
      <c r="C38" s="30">
        <v>53196.4948</v>
      </c>
      <c r="D38" s="30">
        <v>1.8E-3</v>
      </c>
      <c r="E38">
        <f>+(C38-C$7)/C$8</f>
        <v>15679.986152099884</v>
      </c>
      <c r="F38">
        <f>ROUND(2*E38,0)/2</f>
        <v>15680</v>
      </c>
      <c r="G38">
        <f>+C38-(C$7+F38*C$8)</f>
        <v>-1.2200000004668254E-2</v>
      </c>
      <c r="K38">
        <f>+G38</f>
        <v>-1.2200000004668254E-2</v>
      </c>
      <c r="O38">
        <f ca="1">+C$11+C$12*$F38</f>
        <v>-8.8670978642482745E-3</v>
      </c>
      <c r="Q38" s="2">
        <f>+C38-15018.5</f>
        <v>38177.9948</v>
      </c>
    </row>
    <row r="39" spans="1:17" x14ac:dyDescent="0.2">
      <c r="A39" s="32" t="s">
        <v>45</v>
      </c>
      <c r="B39" s="57" t="s">
        <v>32</v>
      </c>
      <c r="C39" s="32">
        <v>55844.690600000002</v>
      </c>
      <c r="D39" s="32">
        <v>1.2E-2</v>
      </c>
      <c r="E39">
        <f>+(C39-C$7)/C$8</f>
        <v>18685.883768444946</v>
      </c>
      <c r="F39">
        <f>ROUND(2*E39,0)/2</f>
        <v>18686</v>
      </c>
      <c r="G39">
        <f>+C39-(C$7+F39*C$8)</f>
        <v>-0.10240000000339933</v>
      </c>
      <c r="K39">
        <f>+G39</f>
        <v>-0.10240000000339933</v>
      </c>
      <c r="O39">
        <f ca="1">+C$11+C$12*$F39</f>
        <v>-9.7986784053551046E-2</v>
      </c>
      <c r="Q39" s="2">
        <f>+C39-15018.5</f>
        <v>40826.190600000002</v>
      </c>
    </row>
    <row r="40" spans="1:17" x14ac:dyDescent="0.2">
      <c r="A40" s="31" t="s">
        <v>48</v>
      </c>
      <c r="B40" s="29" t="s">
        <v>32</v>
      </c>
      <c r="C40" s="30">
        <v>56116.473899999997</v>
      </c>
      <c r="D40" s="30">
        <v>5.9999999999999995E-4</v>
      </c>
      <c r="E40">
        <f>+(C40-C$7)/C$8</f>
        <v>18994.377866061288</v>
      </c>
      <c r="F40">
        <f>ROUND(2*E40,0)/2</f>
        <v>18994.5</v>
      </c>
      <c r="G40">
        <f>+C40-(C$7+F40*C$8)</f>
        <v>-0.10760000000300352</v>
      </c>
      <c r="J40">
        <f>+G40</f>
        <v>-0.10760000000300352</v>
      </c>
      <c r="O40">
        <f ca="1">+C$11+C$12*$F40</f>
        <v>-0.10713296608595285</v>
      </c>
      <c r="Q40" s="2">
        <f>+C40-15018.5</f>
        <v>41097.973899999997</v>
      </c>
    </row>
    <row r="41" spans="1:17" x14ac:dyDescent="0.2">
      <c r="A41" s="31" t="s">
        <v>49</v>
      </c>
      <c r="B41" s="29" t="s">
        <v>32</v>
      </c>
      <c r="C41" s="30">
        <v>56180.343009999997</v>
      </c>
      <c r="D41" s="30">
        <v>1E-4</v>
      </c>
      <c r="E41">
        <f>+(C41-C$7)/C$8</f>
        <v>19066.874018161172</v>
      </c>
      <c r="F41">
        <f>ROUND(2*E41,0)/2</f>
        <v>19067</v>
      </c>
      <c r="G41">
        <f>+C41-(C$7+F41*C$8)</f>
        <v>-0.11099000000831438</v>
      </c>
      <c r="K41">
        <f>+G41</f>
        <v>-0.11099000000831438</v>
      </c>
      <c r="O41">
        <f ca="1">+C$11+C$12*$F41</f>
        <v>-0.10928239298173609</v>
      </c>
      <c r="Q41" s="2">
        <f>+C41-15018.5</f>
        <v>41161.843009999997</v>
      </c>
    </row>
    <row r="42" spans="1:17" x14ac:dyDescent="0.2">
      <c r="A42" s="53" t="s">
        <v>1</v>
      </c>
      <c r="B42" s="54" t="s">
        <v>33</v>
      </c>
      <c r="C42" s="55">
        <v>57300.5</v>
      </c>
      <c r="D42" s="56">
        <v>0.01</v>
      </c>
      <c r="E42">
        <f>+(C42-C$7)/C$8</f>
        <v>20338.334846765036</v>
      </c>
      <c r="F42">
        <f>ROUND(2*E42,0)/2</f>
        <v>20338.5</v>
      </c>
      <c r="G42">
        <f>+C42-(C$7+F42*C$8)</f>
        <v>-0.14549999999871943</v>
      </c>
      <c r="I42">
        <f>+G42</f>
        <v>-0.14549999999871943</v>
      </c>
      <c r="O42">
        <f ca="1">+C$11+C$12*$F42</f>
        <v>-0.14697889364364508</v>
      </c>
      <c r="Q42" s="2">
        <f>+C42-15018.5</f>
        <v>42282</v>
      </c>
    </row>
    <row r="43" spans="1:17" x14ac:dyDescent="0.2">
      <c r="A43" s="60" t="s">
        <v>146</v>
      </c>
      <c r="B43" s="61" t="s">
        <v>33</v>
      </c>
      <c r="C43" s="62">
        <v>57989.426429999992</v>
      </c>
      <c r="D43" s="62">
        <v>6.9999999999999999E-4</v>
      </c>
      <c r="E43">
        <f>+(C43-C$7)/C$8</f>
        <v>21120.317173666277</v>
      </c>
      <c r="F43">
        <f>ROUND(2*E43,0)/2</f>
        <v>21120.5</v>
      </c>
      <c r="G43">
        <f>+C43-(C$7+F43*C$8)</f>
        <v>-0.16107000001647975</v>
      </c>
      <c r="K43">
        <f>+G43</f>
        <v>-0.16107000001647975</v>
      </c>
      <c r="O43">
        <f ca="1">+C$11+C$12*$F43</f>
        <v>-0.17016305685057614</v>
      </c>
      <c r="Q43" s="2">
        <f>+C43-15018.5</f>
        <v>42970.926429999992</v>
      </c>
    </row>
    <row r="44" spans="1:17" x14ac:dyDescent="0.2">
      <c r="A44" s="58" t="s">
        <v>0</v>
      </c>
      <c r="B44" s="58" t="s">
        <v>33</v>
      </c>
      <c r="C44" s="59">
        <v>58019.373</v>
      </c>
      <c r="D44" s="59">
        <v>0.02</v>
      </c>
      <c r="E44">
        <f>+(C44-C$7)/C$8</f>
        <v>21154.3087400681</v>
      </c>
      <c r="F44">
        <f>ROUND(2*E44,0)/2</f>
        <v>21154.5</v>
      </c>
      <c r="G44">
        <f>+C44-(C$7+F44*C$8)</f>
        <v>-0.16850000000704313</v>
      </c>
      <c r="K44">
        <f>+G44</f>
        <v>-0.16850000000704313</v>
      </c>
      <c r="O44">
        <f ca="1">+C$11+C$12*$F44</f>
        <v>-0.17117106394652964</v>
      </c>
      <c r="Q44" s="2">
        <f>+C44-15018.5</f>
        <v>43000.873</v>
      </c>
    </row>
    <row r="45" spans="1:17" x14ac:dyDescent="0.2">
      <c r="A45" s="60" t="s">
        <v>145</v>
      </c>
      <c r="B45" s="61" t="s">
        <v>32</v>
      </c>
      <c r="C45" s="62">
        <v>58756.738499999999</v>
      </c>
      <c r="D45" s="62">
        <v>8.9999999999999998E-4</v>
      </c>
      <c r="E45">
        <f>+(C45-C$7)/C$8</f>
        <v>21991.272985244035</v>
      </c>
      <c r="F45">
        <f>ROUND(2*E45,0)/2</f>
        <v>21991.5</v>
      </c>
      <c r="G45">
        <f>+C45-(C$7+F45*C$8)</f>
        <v>-0.20000000000436557</v>
      </c>
      <c r="K45">
        <f>+G45</f>
        <v>-0.20000000000436557</v>
      </c>
      <c r="O45">
        <f ca="1">+C$11+C$12*$F45</f>
        <v>-0.19598582686750315</v>
      </c>
      <c r="Q45" s="2">
        <f>+C45-15018.5</f>
        <v>43738.238499999999</v>
      </c>
    </row>
    <row r="46" spans="1:17" x14ac:dyDescent="0.2">
      <c r="A46" s="63" t="s">
        <v>147</v>
      </c>
      <c r="B46" s="64" t="s">
        <v>32</v>
      </c>
      <c r="C46" s="65">
        <v>58756.738499999999</v>
      </c>
      <c r="D46" s="66">
        <v>8.9999999999999998E-4</v>
      </c>
      <c r="E46">
        <f>+(C46-C$7)/C$8</f>
        <v>21991.272985244035</v>
      </c>
      <c r="F46">
        <f>ROUND(2*E46,0)/2</f>
        <v>21991.5</v>
      </c>
      <c r="G46">
        <f>+C46-(C$7+F46*C$8)</f>
        <v>-0.20000000000436557</v>
      </c>
      <c r="K46">
        <f>+G46</f>
        <v>-0.20000000000436557</v>
      </c>
      <c r="O46">
        <f ca="1">+C$11+C$12*$F46</f>
        <v>-0.19598582686750315</v>
      </c>
      <c r="Q46" s="2">
        <f>+C46-15018.5</f>
        <v>43738.238499999999</v>
      </c>
    </row>
    <row r="47" spans="1:17" x14ac:dyDescent="0.2">
      <c r="A47" s="60" t="s">
        <v>145</v>
      </c>
      <c r="B47" s="61" t="s">
        <v>33</v>
      </c>
      <c r="C47" s="62">
        <v>58759.824500000002</v>
      </c>
      <c r="D47" s="62">
        <v>1.6999999999999999E-3</v>
      </c>
      <c r="E47">
        <f>+(C47-C$7)/C$8</f>
        <v>21994.775822928488</v>
      </c>
      <c r="F47">
        <f>ROUND(2*E47,0)/2</f>
        <v>21995</v>
      </c>
      <c r="G47">
        <f>+C47-(C$7+F47*C$8)</f>
        <v>-0.19750000000203727</v>
      </c>
      <c r="K47">
        <f>+G47</f>
        <v>-0.19750000000203727</v>
      </c>
      <c r="O47">
        <f ca="1">+C$11+C$12*$F47</f>
        <v>-0.19608959230385131</v>
      </c>
      <c r="Q47" s="2">
        <f>+C47-15018.5</f>
        <v>43741.324500000002</v>
      </c>
    </row>
    <row r="48" spans="1:17" x14ac:dyDescent="0.2">
      <c r="A48" s="63" t="s">
        <v>147</v>
      </c>
      <c r="B48" s="64" t="s">
        <v>33</v>
      </c>
      <c r="C48" s="65">
        <v>58759.824500000002</v>
      </c>
      <c r="D48" s="66">
        <v>1.6999999999999999E-3</v>
      </c>
      <c r="E48">
        <f>+(C48-C$7)/C$8</f>
        <v>21994.775822928488</v>
      </c>
      <c r="F48">
        <f>ROUND(2*E48,0)/2</f>
        <v>21995</v>
      </c>
      <c r="G48">
        <f>+C48-(C$7+F48*C$8)</f>
        <v>-0.19750000000203727</v>
      </c>
      <c r="K48">
        <f>+G48</f>
        <v>-0.19750000000203727</v>
      </c>
      <c r="O48">
        <f ca="1">+C$11+C$12*$F48</f>
        <v>-0.19608959230385131</v>
      </c>
      <c r="Q48" s="2">
        <f>+C48-15018.5</f>
        <v>43741.324500000002</v>
      </c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</sheetData>
  <protectedRanges>
    <protectedRange sqref="A44:D46" name="Range1"/>
  </protectedRanges>
  <sortState xmlns:xlrd2="http://schemas.microsoft.com/office/spreadsheetml/2017/richdata2" ref="A21:V48">
    <sortCondition ref="C21:C48"/>
  </sortState>
  <phoneticPr fontId="8" type="noConversion"/>
  <hyperlinks>
    <hyperlink ref="H534" r:id="rId1" display="http://vsolj.cetus-net.org/bulletin.html"/>
    <hyperlink ref="H64457" r:id="rId2" display="http://vsolj.cetus-net.org/bulletin.html"/>
    <hyperlink ref="H64450" r:id="rId3" display="https://www.aavso.org/ejaavso"/>
    <hyperlink ref="AP601" r:id="rId4" display="http://cdsbib.u-strasbg.fr/cgi-bin/cdsbib?1990RMxAA..21..381G"/>
    <hyperlink ref="AP605" r:id="rId5" display="http://cdsbib.u-strasbg.fr/cgi-bin/cdsbib?1990RMxAA..21..381G"/>
    <hyperlink ref="AP604" r:id="rId6" display="http://cdsbib.u-strasbg.fr/cgi-bin/cdsbib?1990RMxAA..21..381G"/>
    <hyperlink ref="AP585" r:id="rId7" display="http://cdsbib.u-strasbg.fr/cgi-bin/cdsbib?1990RMxAA..21..381G"/>
    <hyperlink ref="I64457" r:id="rId8" display="http://vsolj.cetus-net.org/bulletin.html"/>
    <hyperlink ref="AQ741" r:id="rId9" display="http://cdsbib.u-strasbg.fr/cgi-bin/cdsbib?1990RMxAA..21..381G"/>
    <hyperlink ref="AQ55507" r:id="rId10" display="http://cdsbib.u-strasbg.fr/cgi-bin/cdsbib?1990RMxAA..21..381G"/>
    <hyperlink ref="AQ742" r:id="rId11" display="http://cdsbib.u-strasbg.fr/cgi-bin/cdsbib?1990RMxAA..21..381G"/>
    <hyperlink ref="H64454" r:id="rId12" display="https://www.aavso.org/ejaavso"/>
    <hyperlink ref="H1627" r:id="rId13" display="http://vsolj.cetus-net.org/bulletin.html"/>
    <hyperlink ref="AP2871" r:id="rId14" display="http://cdsbib.u-strasbg.fr/cgi-bin/cdsbib?1990RMxAA..21..381G"/>
    <hyperlink ref="AP2874" r:id="rId15" display="http://cdsbib.u-strasbg.fr/cgi-bin/cdsbib?1990RMxAA..21..381G"/>
    <hyperlink ref="AP2872" r:id="rId16" display="http://cdsbib.u-strasbg.fr/cgi-bin/cdsbib?1990RMxAA..21..381G"/>
    <hyperlink ref="AP2856" r:id="rId17" display="http://cdsbib.u-strasbg.fr/cgi-bin/cdsbib?1990RMxAA..21..381G"/>
    <hyperlink ref="I1627" r:id="rId18" display="http://vsolj.cetus-net.org/bulletin.html"/>
    <hyperlink ref="AQ3085" r:id="rId19" display="http://cdsbib.u-strasbg.fr/cgi-bin/cdsbib?1990RMxAA..21..381G"/>
    <hyperlink ref="AQ65322" r:id="rId20" display="http://cdsbib.u-strasbg.fr/cgi-bin/cdsbib?1990RMxAA..21..381G"/>
    <hyperlink ref="AQ3089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7"/>
  <sheetViews>
    <sheetView topLeftCell="A7" workbookViewId="0">
      <selection activeCell="A25" sqref="A25:D29"/>
    </sheetView>
  </sheetViews>
  <sheetFormatPr defaultRowHeight="12.75" x14ac:dyDescent="0.2"/>
  <cols>
    <col min="1" max="1" width="19.7109375" style="12" customWidth="1"/>
    <col min="2" max="2" width="4.42578125" style="10" customWidth="1"/>
    <col min="3" max="3" width="12.7109375" style="1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51</v>
      </c>
      <c r="I1" s="37" t="s">
        <v>52</v>
      </c>
      <c r="J1" s="38" t="s">
        <v>53</v>
      </c>
    </row>
    <row r="2" spans="1:16" x14ac:dyDescent="0.2">
      <c r="I2" s="39" t="s">
        <v>54</v>
      </c>
      <c r="J2" s="40" t="s">
        <v>55</v>
      </c>
    </row>
    <row r="3" spans="1:16" x14ac:dyDescent="0.2">
      <c r="A3" s="41" t="s">
        <v>56</v>
      </c>
      <c r="I3" s="39" t="s">
        <v>57</v>
      </c>
      <c r="J3" s="40" t="s">
        <v>58</v>
      </c>
    </row>
    <row r="4" spans="1:16" x14ac:dyDescent="0.2">
      <c r="I4" s="39" t="s">
        <v>59</v>
      </c>
      <c r="J4" s="40" t="s">
        <v>58</v>
      </c>
    </row>
    <row r="5" spans="1:16" ht="13.5" thickBot="1" x14ac:dyDescent="0.25">
      <c r="I5" s="42" t="s">
        <v>60</v>
      </c>
      <c r="J5" s="43" t="s">
        <v>61</v>
      </c>
    </row>
    <row r="10" spans="1:16" ht="13.5" thickBot="1" x14ac:dyDescent="0.25"/>
    <row r="11" spans="1:16" ht="12.75" customHeight="1" thickBot="1" x14ac:dyDescent="0.25">
      <c r="A11" s="12" t="str">
        <f t="shared" ref="A11:A29" si="0">P11</f>
        <v> MSAI 37.809 </v>
      </c>
      <c r="B11" s="5" t="str">
        <f t="shared" ref="B11:B29" si="1">IF(H11=INT(H11),"I","II")</f>
        <v>I</v>
      </c>
      <c r="C11" s="12">
        <f t="shared" ref="C11:C29" si="2">1*G11</f>
        <v>39382.427000000003</v>
      </c>
      <c r="D11" s="10" t="str">
        <f t="shared" ref="D11:D29" si="3">VLOOKUP(F11,I$1:J$5,2,FALSE)</f>
        <v>vis</v>
      </c>
      <c r="E11" s="44">
        <f>VLOOKUP(C11,Active!C$21:E$973,3,FALSE)</f>
        <v>0</v>
      </c>
      <c r="F11" s="5" t="s">
        <v>60</v>
      </c>
      <c r="G11" s="10" t="str">
        <f t="shared" ref="G11:G29" si="4">MID(I11,3,LEN(I11)-3)</f>
        <v>39382.427</v>
      </c>
      <c r="H11" s="12">
        <f t="shared" ref="H11:H29" si="5">1*K11</f>
        <v>0</v>
      </c>
      <c r="I11" s="45" t="s">
        <v>62</v>
      </c>
      <c r="J11" s="46" t="s">
        <v>63</v>
      </c>
      <c r="K11" s="45">
        <v>0</v>
      </c>
      <c r="L11" s="45" t="s">
        <v>64</v>
      </c>
      <c r="M11" s="46" t="s">
        <v>65</v>
      </c>
      <c r="N11" s="46" t="s">
        <v>66</v>
      </c>
      <c r="O11" s="47" t="s">
        <v>67</v>
      </c>
      <c r="P11" s="47" t="s">
        <v>68</v>
      </c>
    </row>
    <row r="12" spans="1:16" ht="12.75" customHeight="1" thickBot="1" x14ac:dyDescent="0.25">
      <c r="A12" s="12" t="str">
        <f t="shared" si="0"/>
        <v> JAVSO 26.14 </v>
      </c>
      <c r="B12" s="5" t="str">
        <f t="shared" si="1"/>
        <v>I</v>
      </c>
      <c r="C12" s="12">
        <f t="shared" si="2"/>
        <v>50278.737000000001</v>
      </c>
      <c r="D12" s="10" t="str">
        <f t="shared" si="3"/>
        <v>vis</v>
      </c>
      <c r="E12" s="44">
        <f>VLOOKUP(C12,Active!C$21:E$973,3,FALSE)</f>
        <v>12368.115777525536</v>
      </c>
      <c r="F12" s="5" t="s">
        <v>60</v>
      </c>
      <c r="G12" s="10" t="str">
        <f t="shared" si="4"/>
        <v>50278.737</v>
      </c>
      <c r="H12" s="12">
        <f t="shared" si="5"/>
        <v>12368</v>
      </c>
      <c r="I12" s="45" t="s">
        <v>88</v>
      </c>
      <c r="J12" s="46" t="s">
        <v>89</v>
      </c>
      <c r="K12" s="45">
        <v>12368</v>
      </c>
      <c r="L12" s="45" t="s">
        <v>90</v>
      </c>
      <c r="M12" s="46" t="s">
        <v>65</v>
      </c>
      <c r="N12" s="46" t="s">
        <v>66</v>
      </c>
      <c r="O12" s="47" t="s">
        <v>91</v>
      </c>
      <c r="P12" s="47" t="s">
        <v>92</v>
      </c>
    </row>
    <row r="13" spans="1:16" ht="12.75" customHeight="1" thickBot="1" x14ac:dyDescent="0.25">
      <c r="A13" s="12" t="str">
        <f t="shared" si="0"/>
        <v> JAVSO 26.14 </v>
      </c>
      <c r="B13" s="5" t="str">
        <f t="shared" si="1"/>
        <v>II</v>
      </c>
      <c r="C13" s="12">
        <f t="shared" si="2"/>
        <v>50281.82</v>
      </c>
      <c r="D13" s="10" t="str">
        <f t="shared" si="3"/>
        <v>vis</v>
      </c>
      <c r="E13" s="44">
        <f>VLOOKUP(C13,Active!C$21:E$973,3,FALSE)</f>
        <v>12371.615209988646</v>
      </c>
      <c r="F13" s="5" t="s">
        <v>60</v>
      </c>
      <c r="G13" s="10" t="str">
        <f t="shared" si="4"/>
        <v>50281.820</v>
      </c>
      <c r="H13" s="12">
        <f t="shared" si="5"/>
        <v>12371.5</v>
      </c>
      <c r="I13" s="45" t="s">
        <v>93</v>
      </c>
      <c r="J13" s="46" t="s">
        <v>94</v>
      </c>
      <c r="K13" s="45">
        <v>12371.5</v>
      </c>
      <c r="L13" s="45" t="s">
        <v>95</v>
      </c>
      <c r="M13" s="46" t="s">
        <v>65</v>
      </c>
      <c r="N13" s="46" t="s">
        <v>66</v>
      </c>
      <c r="O13" s="47" t="s">
        <v>91</v>
      </c>
      <c r="P13" s="47" t="s">
        <v>92</v>
      </c>
    </row>
    <row r="14" spans="1:16" ht="12.75" customHeight="1" thickBot="1" x14ac:dyDescent="0.25">
      <c r="A14" s="12" t="str">
        <f t="shared" si="0"/>
        <v> JAVSO 26.14 </v>
      </c>
      <c r="B14" s="5" t="str">
        <f t="shared" si="1"/>
        <v>II</v>
      </c>
      <c r="C14" s="12">
        <f t="shared" si="2"/>
        <v>50282.707999999999</v>
      </c>
      <c r="D14" s="10" t="str">
        <f t="shared" si="3"/>
        <v>vis</v>
      </c>
      <c r="E14" s="44">
        <f>VLOOKUP(C14,Active!C$21:E$973,3,FALSE)</f>
        <v>12372.623155505102</v>
      </c>
      <c r="F14" s="5" t="s">
        <v>60</v>
      </c>
      <c r="G14" s="10" t="str">
        <f t="shared" si="4"/>
        <v>50282.708</v>
      </c>
      <c r="H14" s="12">
        <f t="shared" si="5"/>
        <v>12372.5</v>
      </c>
      <c r="I14" s="45" t="s">
        <v>96</v>
      </c>
      <c r="J14" s="46" t="s">
        <v>97</v>
      </c>
      <c r="K14" s="45">
        <v>12372.5</v>
      </c>
      <c r="L14" s="45" t="s">
        <v>98</v>
      </c>
      <c r="M14" s="46" t="s">
        <v>65</v>
      </c>
      <c r="N14" s="46" t="s">
        <v>66</v>
      </c>
      <c r="O14" s="47" t="s">
        <v>91</v>
      </c>
      <c r="P14" s="47" t="s">
        <v>92</v>
      </c>
    </row>
    <row r="15" spans="1:16" ht="12.75" customHeight="1" thickBot="1" x14ac:dyDescent="0.25">
      <c r="A15" s="12" t="str">
        <f t="shared" si="0"/>
        <v> JAAVSO 40;975 </v>
      </c>
      <c r="B15" s="5" t="str">
        <f t="shared" si="1"/>
        <v>I</v>
      </c>
      <c r="C15" s="12">
        <f t="shared" si="2"/>
        <v>50309.55</v>
      </c>
      <c r="D15" s="10" t="str">
        <f t="shared" si="3"/>
        <v>vis</v>
      </c>
      <c r="E15" s="44">
        <f>VLOOKUP(C15,Active!C$21:E$973,3,FALSE)</f>
        <v>12403.090805902382</v>
      </c>
      <c r="F15" s="5" t="s">
        <v>60</v>
      </c>
      <c r="G15" s="10" t="str">
        <f t="shared" si="4"/>
        <v>50309.550</v>
      </c>
      <c r="H15" s="12">
        <f t="shared" si="5"/>
        <v>12403</v>
      </c>
      <c r="I15" s="45" t="s">
        <v>99</v>
      </c>
      <c r="J15" s="46" t="s">
        <v>100</v>
      </c>
      <c r="K15" s="45">
        <v>12403</v>
      </c>
      <c r="L15" s="45" t="s">
        <v>101</v>
      </c>
      <c r="M15" s="46" t="s">
        <v>102</v>
      </c>
      <c r="N15" s="46" t="s">
        <v>52</v>
      </c>
      <c r="O15" s="47" t="s">
        <v>103</v>
      </c>
      <c r="P15" s="47" t="s">
        <v>104</v>
      </c>
    </row>
    <row r="16" spans="1:16" ht="12.75" customHeight="1" thickBot="1" x14ac:dyDescent="0.25">
      <c r="A16" s="12" t="str">
        <f t="shared" si="0"/>
        <v> JAAVSO 40;975 </v>
      </c>
      <c r="B16" s="5" t="str">
        <f t="shared" si="1"/>
        <v>II</v>
      </c>
      <c r="C16" s="12">
        <f t="shared" si="2"/>
        <v>50310.004000000001</v>
      </c>
      <c r="D16" s="10" t="str">
        <f t="shared" si="3"/>
        <v>vis</v>
      </c>
      <c r="E16" s="44">
        <f>VLOOKUP(C16,Active!C$21:E$973,3,FALSE)</f>
        <v>12403.606129398408</v>
      </c>
      <c r="F16" s="5" t="s">
        <v>60</v>
      </c>
      <c r="G16" s="10" t="str">
        <f t="shared" si="4"/>
        <v>50310.004</v>
      </c>
      <c r="H16" s="12">
        <f t="shared" si="5"/>
        <v>12403.5</v>
      </c>
      <c r="I16" s="45" t="s">
        <v>105</v>
      </c>
      <c r="J16" s="46" t="s">
        <v>106</v>
      </c>
      <c r="K16" s="45">
        <v>12403.5</v>
      </c>
      <c r="L16" s="45" t="s">
        <v>107</v>
      </c>
      <c r="M16" s="46" t="s">
        <v>102</v>
      </c>
      <c r="N16" s="46" t="s">
        <v>52</v>
      </c>
      <c r="O16" s="47" t="s">
        <v>103</v>
      </c>
      <c r="P16" s="47" t="s">
        <v>104</v>
      </c>
    </row>
    <row r="17" spans="1:16" ht="12.75" customHeight="1" thickBot="1" x14ac:dyDescent="0.25">
      <c r="A17" s="12" t="str">
        <f t="shared" si="0"/>
        <v> JAVSO 26.14 </v>
      </c>
      <c r="B17" s="5" t="str">
        <f t="shared" si="1"/>
        <v>II</v>
      </c>
      <c r="C17" s="12">
        <f t="shared" si="2"/>
        <v>50357.593000000001</v>
      </c>
      <c r="D17" s="10" t="str">
        <f t="shared" si="3"/>
        <v>vis</v>
      </c>
      <c r="E17" s="44">
        <f>VLOOKUP(C17,Active!C$21:E$973,3,FALSE)</f>
        <v>12457.623155505105</v>
      </c>
      <c r="F17" s="5" t="s">
        <v>60</v>
      </c>
      <c r="G17" s="10" t="str">
        <f t="shared" si="4"/>
        <v>50357.593</v>
      </c>
      <c r="H17" s="12">
        <f t="shared" si="5"/>
        <v>12457.5</v>
      </c>
      <c r="I17" s="45" t="s">
        <v>108</v>
      </c>
      <c r="J17" s="46" t="s">
        <v>109</v>
      </c>
      <c r="K17" s="45">
        <v>12457.5</v>
      </c>
      <c r="L17" s="45" t="s">
        <v>98</v>
      </c>
      <c r="M17" s="46" t="s">
        <v>65</v>
      </c>
      <c r="N17" s="46" t="s">
        <v>66</v>
      </c>
      <c r="O17" s="47" t="s">
        <v>91</v>
      </c>
      <c r="P17" s="47" t="s">
        <v>92</v>
      </c>
    </row>
    <row r="18" spans="1:16" ht="12.75" customHeight="1" thickBot="1" x14ac:dyDescent="0.25">
      <c r="A18" s="12" t="str">
        <f t="shared" si="0"/>
        <v>IBVS 5463 </v>
      </c>
      <c r="B18" s="5" t="str">
        <f t="shared" si="1"/>
        <v>I</v>
      </c>
      <c r="C18" s="12">
        <f t="shared" si="2"/>
        <v>52109.378100000002</v>
      </c>
      <c r="D18" s="10" t="str">
        <f t="shared" si="3"/>
        <v>vis</v>
      </c>
      <c r="E18" s="44">
        <f>VLOOKUP(C18,Active!C$21:E$973,3,FALSE)</f>
        <v>14446.028490351871</v>
      </c>
      <c r="F18" s="5" t="s">
        <v>60</v>
      </c>
      <c r="G18" s="10" t="str">
        <f t="shared" si="4"/>
        <v>52109.3781</v>
      </c>
      <c r="H18" s="12">
        <f t="shared" si="5"/>
        <v>14446</v>
      </c>
      <c r="I18" s="45" t="s">
        <v>110</v>
      </c>
      <c r="J18" s="46" t="s">
        <v>111</v>
      </c>
      <c r="K18" s="45">
        <v>14446</v>
      </c>
      <c r="L18" s="45" t="s">
        <v>112</v>
      </c>
      <c r="M18" s="46" t="s">
        <v>65</v>
      </c>
      <c r="N18" s="46" t="s">
        <v>66</v>
      </c>
      <c r="O18" s="47" t="s">
        <v>113</v>
      </c>
      <c r="P18" s="48" t="s">
        <v>114</v>
      </c>
    </row>
    <row r="19" spans="1:16" ht="12.75" customHeight="1" thickBot="1" x14ac:dyDescent="0.25">
      <c r="A19" s="12" t="str">
        <f t="shared" si="0"/>
        <v>IBVS 5463 </v>
      </c>
      <c r="B19" s="5" t="str">
        <f t="shared" si="1"/>
        <v>II</v>
      </c>
      <c r="C19" s="12">
        <f t="shared" si="2"/>
        <v>52489.520199999999</v>
      </c>
      <c r="D19" s="10" t="str">
        <f t="shared" si="3"/>
        <v>vis</v>
      </c>
      <c r="E19" s="44">
        <f>VLOOKUP(C19,Active!C$21:E$973,3,FALSE)</f>
        <v>14877.517820658339</v>
      </c>
      <c r="F19" s="5" t="s">
        <v>60</v>
      </c>
      <c r="G19" s="10" t="str">
        <f t="shared" si="4"/>
        <v>52489.5202</v>
      </c>
      <c r="H19" s="12">
        <f t="shared" si="5"/>
        <v>14877.5</v>
      </c>
      <c r="I19" s="45" t="s">
        <v>115</v>
      </c>
      <c r="J19" s="46" t="s">
        <v>116</v>
      </c>
      <c r="K19" s="45">
        <v>14877.5</v>
      </c>
      <c r="L19" s="45" t="s">
        <v>117</v>
      </c>
      <c r="M19" s="46" t="s">
        <v>65</v>
      </c>
      <c r="N19" s="46" t="s">
        <v>66</v>
      </c>
      <c r="O19" s="47" t="s">
        <v>113</v>
      </c>
      <c r="P19" s="48" t="s">
        <v>114</v>
      </c>
    </row>
    <row r="20" spans="1:16" ht="12.75" customHeight="1" thickBot="1" x14ac:dyDescent="0.25">
      <c r="A20" s="12" t="str">
        <f t="shared" si="0"/>
        <v>IBVS 6153 </v>
      </c>
      <c r="B20" s="5" t="str">
        <f t="shared" si="1"/>
        <v>II</v>
      </c>
      <c r="C20" s="12">
        <f t="shared" si="2"/>
        <v>53178.431100000002</v>
      </c>
      <c r="D20" s="10" t="str">
        <f t="shared" si="3"/>
        <v>vis</v>
      </c>
      <c r="E20" s="44">
        <f>VLOOKUP(C20,Active!C$21:E$973,3,FALSE)</f>
        <v>15659.48251986379</v>
      </c>
      <c r="F20" s="5" t="s">
        <v>60</v>
      </c>
      <c r="G20" s="10" t="str">
        <f t="shared" si="4"/>
        <v>53178.4311</v>
      </c>
      <c r="H20" s="12">
        <f t="shared" si="5"/>
        <v>15659.5</v>
      </c>
      <c r="I20" s="45" t="s">
        <v>118</v>
      </c>
      <c r="J20" s="46" t="s">
        <v>119</v>
      </c>
      <c r="K20" s="45">
        <v>15659.5</v>
      </c>
      <c r="L20" s="45" t="s">
        <v>120</v>
      </c>
      <c r="M20" s="46" t="s">
        <v>102</v>
      </c>
      <c r="N20" s="46" t="s">
        <v>121</v>
      </c>
      <c r="O20" s="47" t="s">
        <v>122</v>
      </c>
      <c r="P20" s="48" t="s">
        <v>123</v>
      </c>
    </row>
    <row r="21" spans="1:16" ht="12.75" customHeight="1" thickBot="1" x14ac:dyDescent="0.25">
      <c r="A21" s="12" t="str">
        <f t="shared" si="0"/>
        <v>IBVS 6153 </v>
      </c>
      <c r="B21" s="5" t="str">
        <f t="shared" si="1"/>
        <v>I</v>
      </c>
      <c r="C21" s="12">
        <f t="shared" si="2"/>
        <v>53196.4948</v>
      </c>
      <c r="D21" s="10" t="str">
        <f t="shared" si="3"/>
        <v>vis</v>
      </c>
      <c r="E21" s="44">
        <f>VLOOKUP(C21,Active!C$21:E$973,3,FALSE)</f>
        <v>15679.986152099884</v>
      </c>
      <c r="F21" s="5" t="s">
        <v>60</v>
      </c>
      <c r="G21" s="10" t="str">
        <f t="shared" si="4"/>
        <v>53196.4948</v>
      </c>
      <c r="H21" s="12">
        <f t="shared" si="5"/>
        <v>15680</v>
      </c>
      <c r="I21" s="45" t="s">
        <v>124</v>
      </c>
      <c r="J21" s="46" t="s">
        <v>125</v>
      </c>
      <c r="K21" s="45">
        <v>15680</v>
      </c>
      <c r="L21" s="45" t="s">
        <v>126</v>
      </c>
      <c r="M21" s="46" t="s">
        <v>102</v>
      </c>
      <c r="N21" s="46" t="s">
        <v>121</v>
      </c>
      <c r="O21" s="47" t="s">
        <v>122</v>
      </c>
      <c r="P21" s="48" t="s">
        <v>123</v>
      </c>
    </row>
    <row r="22" spans="1:16" ht="12.75" customHeight="1" thickBot="1" x14ac:dyDescent="0.25">
      <c r="A22" s="12" t="str">
        <f t="shared" si="0"/>
        <v>IBVS 6011 </v>
      </c>
      <c r="B22" s="5" t="str">
        <f t="shared" si="1"/>
        <v>I</v>
      </c>
      <c r="C22" s="12">
        <f t="shared" si="2"/>
        <v>55844.690600000002</v>
      </c>
      <c r="D22" s="10" t="str">
        <f t="shared" si="3"/>
        <v>vis</v>
      </c>
      <c r="E22" s="44">
        <f>VLOOKUP(C22,Active!C$21:E$973,3,FALSE)</f>
        <v>18685.883768444946</v>
      </c>
      <c r="F22" s="5" t="s">
        <v>60</v>
      </c>
      <c r="G22" s="10" t="str">
        <f t="shared" si="4"/>
        <v>55844.6906</v>
      </c>
      <c r="H22" s="12">
        <f t="shared" si="5"/>
        <v>18686</v>
      </c>
      <c r="I22" s="45" t="s">
        <v>127</v>
      </c>
      <c r="J22" s="46" t="s">
        <v>128</v>
      </c>
      <c r="K22" s="45">
        <v>18686</v>
      </c>
      <c r="L22" s="45" t="s">
        <v>129</v>
      </c>
      <c r="M22" s="46" t="s">
        <v>102</v>
      </c>
      <c r="N22" s="46" t="s">
        <v>60</v>
      </c>
      <c r="O22" s="47" t="s">
        <v>130</v>
      </c>
      <c r="P22" s="48" t="s">
        <v>131</v>
      </c>
    </row>
    <row r="23" spans="1:16" ht="12.75" customHeight="1" thickBot="1" x14ac:dyDescent="0.25">
      <c r="A23" s="12" t="str">
        <f t="shared" si="0"/>
        <v>BAVM 231 </v>
      </c>
      <c r="B23" s="5" t="str">
        <f t="shared" si="1"/>
        <v>II</v>
      </c>
      <c r="C23" s="12">
        <f t="shared" si="2"/>
        <v>56116.473899999997</v>
      </c>
      <c r="D23" s="10" t="str">
        <f t="shared" si="3"/>
        <v>vis</v>
      </c>
      <c r="E23" s="44">
        <f>VLOOKUP(C23,Active!C$21:E$973,3,FALSE)</f>
        <v>18994.377866061288</v>
      </c>
      <c r="F23" s="5" t="s">
        <v>60</v>
      </c>
      <c r="G23" s="10" t="str">
        <f t="shared" si="4"/>
        <v>56116.4739</v>
      </c>
      <c r="H23" s="12">
        <f t="shared" si="5"/>
        <v>18994.5</v>
      </c>
      <c r="I23" s="45" t="s">
        <v>132</v>
      </c>
      <c r="J23" s="46" t="s">
        <v>133</v>
      </c>
      <c r="K23" s="45">
        <v>18994.5</v>
      </c>
      <c r="L23" s="45" t="s">
        <v>134</v>
      </c>
      <c r="M23" s="46" t="s">
        <v>102</v>
      </c>
      <c r="N23" s="46" t="s">
        <v>135</v>
      </c>
      <c r="O23" s="47" t="s">
        <v>136</v>
      </c>
      <c r="P23" s="48" t="s">
        <v>137</v>
      </c>
    </row>
    <row r="24" spans="1:16" ht="13.5" customHeight="1" thickBot="1" x14ac:dyDescent="0.25">
      <c r="A24" s="12" t="str">
        <f t="shared" si="0"/>
        <v>OEJV 0160 </v>
      </c>
      <c r="B24" s="5" t="str">
        <f t="shared" si="1"/>
        <v>I</v>
      </c>
      <c r="C24" s="12">
        <f t="shared" si="2"/>
        <v>56180.343009999997</v>
      </c>
      <c r="D24" s="10" t="str">
        <f t="shared" si="3"/>
        <v>vis</v>
      </c>
      <c r="E24" s="44">
        <f>VLOOKUP(C24,Active!C$21:E$973,3,FALSE)</f>
        <v>19066.874018161172</v>
      </c>
      <c r="F24" s="5" t="s">
        <v>60</v>
      </c>
      <c r="G24" s="10" t="str">
        <f t="shared" si="4"/>
        <v>56180.34301</v>
      </c>
      <c r="H24" s="12">
        <f t="shared" si="5"/>
        <v>19067</v>
      </c>
      <c r="I24" s="45" t="s">
        <v>138</v>
      </c>
      <c r="J24" s="46" t="s">
        <v>139</v>
      </c>
      <c r="K24" s="45" t="s">
        <v>140</v>
      </c>
      <c r="L24" s="45" t="s">
        <v>141</v>
      </c>
      <c r="M24" s="46" t="s">
        <v>102</v>
      </c>
      <c r="N24" s="46" t="s">
        <v>52</v>
      </c>
      <c r="O24" s="47" t="s">
        <v>142</v>
      </c>
      <c r="P24" s="48" t="s">
        <v>143</v>
      </c>
    </row>
    <row r="25" spans="1:16" ht="12.75" customHeight="1" thickBot="1" x14ac:dyDescent="0.25">
      <c r="A25" s="12" t="str">
        <f t="shared" si="0"/>
        <v>BAVM 68 </v>
      </c>
      <c r="B25" s="5" t="str">
        <f t="shared" si="1"/>
        <v>II</v>
      </c>
      <c r="C25" s="12">
        <f t="shared" si="2"/>
        <v>48100.512900000002</v>
      </c>
      <c r="D25" s="10" t="str">
        <f t="shared" si="3"/>
        <v>vis</v>
      </c>
      <c r="E25" s="44">
        <f>VLOOKUP(C25,Active!C$21:E$973,3,FALSE)</f>
        <v>9895.6707150964794</v>
      </c>
      <c r="F25" s="5" t="s">
        <v>60</v>
      </c>
      <c r="G25" s="10" t="str">
        <f t="shared" si="4"/>
        <v>48100.5129</v>
      </c>
      <c r="H25" s="12">
        <f t="shared" si="5"/>
        <v>9895.5</v>
      </c>
      <c r="I25" s="45" t="s">
        <v>69</v>
      </c>
      <c r="J25" s="46" t="s">
        <v>70</v>
      </c>
      <c r="K25" s="45">
        <v>9895.5</v>
      </c>
      <c r="L25" s="45" t="s">
        <v>71</v>
      </c>
      <c r="M25" s="46" t="s">
        <v>65</v>
      </c>
      <c r="N25" s="46" t="s">
        <v>60</v>
      </c>
      <c r="O25" s="47" t="s">
        <v>72</v>
      </c>
      <c r="P25" s="48" t="s">
        <v>73</v>
      </c>
    </row>
    <row r="26" spans="1:16" ht="12.75" customHeight="1" thickBot="1" x14ac:dyDescent="0.25">
      <c r="A26" s="12" t="str">
        <f t="shared" si="0"/>
        <v>BAVM 68 </v>
      </c>
      <c r="B26" s="5" t="str">
        <f t="shared" si="1"/>
        <v>I</v>
      </c>
      <c r="C26" s="12">
        <f t="shared" si="2"/>
        <v>49207.455399999999</v>
      </c>
      <c r="D26" s="10" t="str">
        <f t="shared" si="3"/>
        <v>vis</v>
      </c>
      <c r="E26" s="44">
        <f>VLOOKUP(C26,Active!C$21:E$973,3,FALSE)</f>
        <v>11152.132122587964</v>
      </c>
      <c r="F26" s="5" t="s">
        <v>60</v>
      </c>
      <c r="G26" s="10" t="str">
        <f t="shared" si="4"/>
        <v>49207.4554</v>
      </c>
      <c r="H26" s="12">
        <f t="shared" si="5"/>
        <v>11152</v>
      </c>
      <c r="I26" s="45" t="s">
        <v>74</v>
      </c>
      <c r="J26" s="46" t="s">
        <v>75</v>
      </c>
      <c r="K26" s="45">
        <v>11152</v>
      </c>
      <c r="L26" s="45" t="s">
        <v>76</v>
      </c>
      <c r="M26" s="46" t="s">
        <v>65</v>
      </c>
      <c r="N26" s="46" t="s">
        <v>77</v>
      </c>
      <c r="O26" s="47" t="s">
        <v>72</v>
      </c>
      <c r="P26" s="48" t="s">
        <v>73</v>
      </c>
    </row>
    <row r="27" spans="1:16" ht="12.75" customHeight="1" thickBot="1" x14ac:dyDescent="0.25">
      <c r="A27" s="12" t="str">
        <f t="shared" si="0"/>
        <v>BAVM 68 </v>
      </c>
      <c r="B27" s="5" t="str">
        <f t="shared" si="1"/>
        <v>I</v>
      </c>
      <c r="C27" s="12">
        <f t="shared" si="2"/>
        <v>49207.456400000003</v>
      </c>
      <c r="D27" s="10" t="str">
        <f t="shared" si="3"/>
        <v>vis</v>
      </c>
      <c r="E27" s="44">
        <f>VLOOKUP(C27,Active!C$21:E$973,3,FALSE)</f>
        <v>11152.133257661748</v>
      </c>
      <c r="F27" s="5" t="s">
        <v>60</v>
      </c>
      <c r="G27" s="10" t="str">
        <f t="shared" si="4"/>
        <v>49207.4564</v>
      </c>
      <c r="H27" s="12">
        <f t="shared" si="5"/>
        <v>11152</v>
      </c>
      <c r="I27" s="45" t="s">
        <v>78</v>
      </c>
      <c r="J27" s="46" t="s">
        <v>79</v>
      </c>
      <c r="K27" s="45">
        <v>11152</v>
      </c>
      <c r="L27" s="45" t="s">
        <v>80</v>
      </c>
      <c r="M27" s="46" t="s">
        <v>65</v>
      </c>
      <c r="N27" s="46" t="s">
        <v>81</v>
      </c>
      <c r="O27" s="47" t="s">
        <v>72</v>
      </c>
      <c r="P27" s="48" t="s">
        <v>73</v>
      </c>
    </row>
    <row r="28" spans="1:16" ht="12.75" customHeight="1" thickBot="1" x14ac:dyDescent="0.25">
      <c r="A28" s="12" t="str">
        <f t="shared" si="0"/>
        <v>BAVM 68 </v>
      </c>
      <c r="B28" s="5" t="str">
        <f t="shared" si="1"/>
        <v>II</v>
      </c>
      <c r="C28" s="12">
        <f t="shared" si="2"/>
        <v>49211.4211</v>
      </c>
      <c r="D28" s="10" t="str">
        <f t="shared" si="3"/>
        <v>vis</v>
      </c>
      <c r="E28" s="44">
        <f>VLOOKUP(C28,Active!C$21:E$973,3,FALSE)</f>
        <v>11156.6334846765</v>
      </c>
      <c r="F28" s="5" t="s">
        <v>60</v>
      </c>
      <c r="G28" s="10" t="str">
        <f t="shared" si="4"/>
        <v>49211.4211</v>
      </c>
      <c r="H28" s="12">
        <f t="shared" si="5"/>
        <v>11156.5</v>
      </c>
      <c r="I28" s="45" t="s">
        <v>82</v>
      </c>
      <c r="J28" s="46" t="s">
        <v>83</v>
      </c>
      <c r="K28" s="45">
        <v>11156.5</v>
      </c>
      <c r="L28" s="45" t="s">
        <v>84</v>
      </c>
      <c r="M28" s="46" t="s">
        <v>65</v>
      </c>
      <c r="N28" s="46" t="s">
        <v>77</v>
      </c>
      <c r="O28" s="47" t="s">
        <v>72</v>
      </c>
      <c r="P28" s="48" t="s">
        <v>73</v>
      </c>
    </row>
    <row r="29" spans="1:16" ht="12.75" customHeight="1" thickBot="1" x14ac:dyDescent="0.25">
      <c r="A29" s="12" t="str">
        <f t="shared" si="0"/>
        <v>BAVM 68 </v>
      </c>
      <c r="B29" s="5" t="str">
        <f t="shared" si="1"/>
        <v>II</v>
      </c>
      <c r="C29" s="12">
        <f t="shared" si="2"/>
        <v>49211.422100000003</v>
      </c>
      <c r="D29" s="10" t="str">
        <f t="shared" si="3"/>
        <v>vis</v>
      </c>
      <c r="E29" s="44">
        <f>VLOOKUP(C29,Active!C$21:E$973,3,FALSE)</f>
        <v>11156.634619750284</v>
      </c>
      <c r="F29" s="5" t="s">
        <v>60</v>
      </c>
      <c r="G29" s="10" t="str">
        <f t="shared" si="4"/>
        <v>49211.4221</v>
      </c>
      <c r="H29" s="12">
        <f t="shared" si="5"/>
        <v>11156.5</v>
      </c>
      <c r="I29" s="45" t="s">
        <v>85</v>
      </c>
      <c r="J29" s="46" t="s">
        <v>86</v>
      </c>
      <c r="K29" s="45">
        <v>11156.5</v>
      </c>
      <c r="L29" s="45" t="s">
        <v>87</v>
      </c>
      <c r="M29" s="46" t="s">
        <v>65</v>
      </c>
      <c r="N29" s="46" t="s">
        <v>81</v>
      </c>
      <c r="O29" s="47" t="s">
        <v>72</v>
      </c>
      <c r="P29" s="48" t="s">
        <v>73</v>
      </c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</sheetData>
  <phoneticPr fontId="8" type="noConversion"/>
  <hyperlinks>
    <hyperlink ref="P25" r:id="rId1" display="http://www.bav-astro.de/sfs/BAVM_link.php?BAVMnr=68"/>
    <hyperlink ref="P26" r:id="rId2" display="http://www.bav-astro.de/sfs/BAVM_link.php?BAVMnr=68"/>
    <hyperlink ref="P27" r:id="rId3" display="http://www.bav-astro.de/sfs/BAVM_link.php?BAVMnr=68"/>
    <hyperlink ref="P28" r:id="rId4" display="http://www.bav-astro.de/sfs/BAVM_link.php?BAVMnr=68"/>
    <hyperlink ref="P29" r:id="rId5" display="http://www.bav-astro.de/sfs/BAVM_link.php?BAVMnr=68"/>
    <hyperlink ref="P18" r:id="rId6" display="http://www.konkoly.hu/cgi-bin/IBVS?5463"/>
    <hyperlink ref="P19" r:id="rId7" display="http://www.konkoly.hu/cgi-bin/IBVS?5463"/>
    <hyperlink ref="P20" r:id="rId8" display="http://www.konkoly.hu/cgi-bin/IBVS?6153"/>
    <hyperlink ref="P21" r:id="rId9" display="http://www.konkoly.hu/cgi-bin/IBVS?6153"/>
    <hyperlink ref="P22" r:id="rId10" display="http://www.konkoly.hu/cgi-bin/IBVS?6011"/>
    <hyperlink ref="P23" r:id="rId11" display="http://www.bav-astro.de/sfs/BAVM_link.php?BAVMnr=231"/>
    <hyperlink ref="P24" r:id="rId12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2023-01-14T03:46:09Z</dcterms:modified>
</cp:coreProperties>
</file>