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80B3760-1B83-4A70-B2E2-FE43BDF477E0}" xr6:coauthVersionLast="47" xr6:coauthVersionMax="47" xr10:uidLastSave="{00000000-0000-0000-0000-000000000000}"/>
  <bookViews>
    <workbookView xWindow="13710" yWindow="9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4" i="1" l="1"/>
  <c r="F114" i="1"/>
  <c r="G114" i="1" s="1"/>
  <c r="K114" i="1" s="1"/>
  <c r="Q114" i="1"/>
  <c r="E115" i="1"/>
  <c r="F115" i="1"/>
  <c r="G115" i="1" s="1"/>
  <c r="K115" i="1" s="1"/>
  <c r="Q115" i="1"/>
  <c r="E116" i="1"/>
  <c r="F116" i="1"/>
  <c r="G116" i="1" s="1"/>
  <c r="K116" i="1" s="1"/>
  <c r="Q116" i="1"/>
  <c r="E117" i="1"/>
  <c r="F117" i="1"/>
  <c r="G117" i="1"/>
  <c r="K117" i="1"/>
  <c r="Q117" i="1"/>
  <c r="Q104" i="1"/>
  <c r="Q105" i="1"/>
  <c r="Q106" i="1"/>
  <c r="E107" i="1"/>
  <c r="F107" i="1"/>
  <c r="Q107" i="1"/>
  <c r="Q108" i="1"/>
  <c r="Q109" i="1"/>
  <c r="Q110" i="1"/>
  <c r="Q111" i="1"/>
  <c r="Q112" i="1"/>
  <c r="Q113" i="1"/>
  <c r="Q103" i="1"/>
  <c r="Q102" i="1"/>
  <c r="Q101" i="1"/>
  <c r="Q99" i="1"/>
  <c r="C7" i="1"/>
  <c r="E104" i="1"/>
  <c r="F104" i="1"/>
  <c r="E37" i="1"/>
  <c r="F37" i="1"/>
  <c r="G37" i="1"/>
  <c r="I37" i="1"/>
  <c r="C8" i="1"/>
  <c r="E29" i="1"/>
  <c r="F29" i="1"/>
  <c r="G29" i="1"/>
  <c r="I29" i="1"/>
  <c r="E49" i="1"/>
  <c r="F49" i="1"/>
  <c r="G49" i="1"/>
  <c r="I49" i="1"/>
  <c r="E61" i="1"/>
  <c r="F61" i="1"/>
  <c r="E81" i="1"/>
  <c r="F81" i="1"/>
  <c r="E85" i="1"/>
  <c r="F85" i="1"/>
  <c r="G85" i="1"/>
  <c r="K85" i="1"/>
  <c r="D9" i="1"/>
  <c r="C9" i="1"/>
  <c r="E46" i="1"/>
  <c r="F46" i="1"/>
  <c r="G46" i="1"/>
  <c r="I46" i="1"/>
  <c r="E69" i="1"/>
  <c r="F69" i="1"/>
  <c r="E51" i="1"/>
  <c r="F51" i="1"/>
  <c r="E66" i="1"/>
  <c r="F66" i="1"/>
  <c r="Q98" i="1"/>
  <c r="Q97" i="1"/>
  <c r="Q96" i="1"/>
  <c r="Q95" i="1"/>
  <c r="Q94" i="1"/>
  <c r="Q93" i="1"/>
  <c r="Q92" i="1"/>
  <c r="Q91" i="1"/>
  <c r="Q88" i="1"/>
  <c r="Q85" i="1"/>
  <c r="Q82" i="1"/>
  <c r="Q81" i="1"/>
  <c r="Q79" i="1"/>
  <c r="Q76" i="1"/>
  <c r="Q75" i="1"/>
  <c r="Q64" i="1"/>
  <c r="Q62" i="1"/>
  <c r="Q61" i="1"/>
  <c r="Q59" i="1"/>
  <c r="Q56" i="1"/>
  <c r="Q53" i="1"/>
  <c r="Q52" i="1"/>
  <c r="Q49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3" i="2"/>
  <c r="C33" i="2"/>
  <c r="G81" i="2"/>
  <c r="C81" i="2"/>
  <c r="E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32" i="2"/>
  <c r="C32" i="2"/>
  <c r="G31" i="2"/>
  <c r="C31" i="2"/>
  <c r="G72" i="2"/>
  <c r="C72" i="2"/>
  <c r="G30" i="2"/>
  <c r="C30" i="2"/>
  <c r="G29" i="2"/>
  <c r="C29" i="2"/>
  <c r="G71" i="2"/>
  <c r="C71" i="2"/>
  <c r="E71" i="2"/>
  <c r="G70" i="2"/>
  <c r="C70" i="2"/>
  <c r="E70" i="2"/>
  <c r="G28" i="2"/>
  <c r="C28" i="2"/>
  <c r="G69" i="2"/>
  <c r="C69" i="2"/>
  <c r="G68" i="2"/>
  <c r="C68" i="2"/>
  <c r="E68" i="2"/>
  <c r="G27" i="2"/>
  <c r="C27" i="2"/>
  <c r="G67" i="2"/>
  <c r="C67" i="2"/>
  <c r="E67" i="2"/>
  <c r="G26" i="2"/>
  <c r="C26" i="2"/>
  <c r="G25" i="2"/>
  <c r="C25" i="2"/>
  <c r="G66" i="2"/>
  <c r="C66" i="2"/>
  <c r="G65" i="2"/>
  <c r="C65" i="2"/>
  <c r="E6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64" i="2"/>
  <c r="C64" i="2"/>
  <c r="G63" i="2"/>
  <c r="C63" i="2"/>
  <c r="G62" i="2"/>
  <c r="C62" i="2"/>
  <c r="E62" i="2"/>
  <c r="G61" i="2"/>
  <c r="C61" i="2"/>
  <c r="G60" i="2"/>
  <c r="C60" i="2"/>
  <c r="G15" i="2"/>
  <c r="C15" i="2"/>
  <c r="G59" i="2"/>
  <c r="C59" i="2"/>
  <c r="E59" i="2"/>
  <c r="G58" i="2"/>
  <c r="C58" i="2"/>
  <c r="G57" i="2"/>
  <c r="C57" i="2"/>
  <c r="E57" i="2"/>
  <c r="G14" i="2"/>
  <c r="C14" i="2"/>
  <c r="G13" i="2"/>
  <c r="C13" i="2"/>
  <c r="G12" i="2"/>
  <c r="C12" i="2"/>
  <c r="E12" i="2"/>
  <c r="G11" i="2"/>
  <c r="C11" i="2"/>
  <c r="E11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E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E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H33" i="2"/>
  <c r="B33" i="2"/>
  <c r="F33" i="2"/>
  <c r="D33" i="2"/>
  <c r="A33" i="2"/>
  <c r="H81" i="2"/>
  <c r="B81" i="2"/>
  <c r="F81" i="2"/>
  <c r="D81" i="2"/>
  <c r="A81" i="2"/>
  <c r="H80" i="2"/>
  <c r="F80" i="2"/>
  <c r="D80" i="2"/>
  <c r="B80" i="2"/>
  <c r="A80" i="2"/>
  <c r="H79" i="2"/>
  <c r="B79" i="2"/>
  <c r="F79" i="2"/>
  <c r="D79" i="2"/>
  <c r="A79" i="2"/>
  <c r="H78" i="2"/>
  <c r="D78" i="2"/>
  <c r="B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32" i="2"/>
  <c r="B32" i="2"/>
  <c r="D32" i="2"/>
  <c r="A32" i="2"/>
  <c r="H31" i="2"/>
  <c r="B31" i="2"/>
  <c r="D31" i="2"/>
  <c r="A31" i="2"/>
  <c r="H72" i="2"/>
  <c r="D72" i="2"/>
  <c r="B72" i="2"/>
  <c r="A72" i="2"/>
  <c r="H30" i="2"/>
  <c r="B30" i="2"/>
  <c r="D30" i="2"/>
  <c r="A30" i="2"/>
  <c r="H29" i="2"/>
  <c r="B29" i="2"/>
  <c r="D29" i="2"/>
  <c r="A29" i="2"/>
  <c r="H71" i="2"/>
  <c r="B71" i="2"/>
  <c r="D71" i="2"/>
  <c r="A71" i="2"/>
  <c r="H70" i="2"/>
  <c r="B70" i="2"/>
  <c r="D70" i="2"/>
  <c r="A70" i="2"/>
  <c r="H28" i="2"/>
  <c r="B28" i="2"/>
  <c r="D28" i="2"/>
  <c r="A28" i="2"/>
  <c r="H69" i="2"/>
  <c r="D69" i="2"/>
  <c r="B69" i="2"/>
  <c r="A69" i="2"/>
  <c r="H68" i="2"/>
  <c r="B68" i="2"/>
  <c r="D68" i="2"/>
  <c r="A68" i="2"/>
  <c r="H27" i="2"/>
  <c r="D27" i="2"/>
  <c r="B27" i="2"/>
  <c r="A27" i="2"/>
  <c r="H67" i="2"/>
  <c r="B67" i="2"/>
  <c r="D67" i="2"/>
  <c r="A67" i="2"/>
  <c r="H26" i="2"/>
  <c r="B26" i="2"/>
  <c r="D26" i="2"/>
  <c r="A26" i="2"/>
  <c r="H25" i="2"/>
  <c r="B25" i="2"/>
  <c r="D25" i="2"/>
  <c r="A25" i="2"/>
  <c r="H66" i="2"/>
  <c r="D66" i="2"/>
  <c r="B66" i="2"/>
  <c r="A66" i="2"/>
  <c r="H65" i="2"/>
  <c r="B65" i="2"/>
  <c r="D65" i="2"/>
  <c r="A6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5" i="2"/>
  <c r="D15" i="2"/>
  <c r="B15" i="2"/>
  <c r="A15" i="2"/>
  <c r="H59" i="2"/>
  <c r="B59" i="2"/>
  <c r="D59" i="2"/>
  <c r="A59" i="2"/>
  <c r="H58" i="2"/>
  <c r="B58" i="2"/>
  <c r="D58" i="2"/>
  <c r="A58" i="2"/>
  <c r="H57" i="2"/>
  <c r="B57" i="2"/>
  <c r="D57" i="2"/>
  <c r="A57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100" i="1"/>
  <c r="Q89" i="1"/>
  <c r="Q90" i="1"/>
  <c r="Q87" i="1"/>
  <c r="F16" i="1"/>
  <c r="F17" i="1" s="1"/>
  <c r="C17" i="1"/>
  <c r="Q86" i="1"/>
  <c r="Q84" i="1"/>
  <c r="Q78" i="1"/>
  <c r="Q83" i="1"/>
  <c r="Q80" i="1"/>
  <c r="Q77" i="1"/>
  <c r="Q50" i="1"/>
  <c r="Q51" i="1"/>
  <c r="Q54" i="1"/>
  <c r="Q55" i="1"/>
  <c r="Q57" i="1"/>
  <c r="Q58" i="1"/>
  <c r="Q60" i="1"/>
  <c r="Q63" i="1"/>
  <c r="Q65" i="1"/>
  <c r="Q45" i="1"/>
  <c r="Q46" i="1"/>
  <c r="Q47" i="1"/>
  <c r="Q48" i="1"/>
  <c r="Q66" i="1"/>
  <c r="Q67" i="1"/>
  <c r="Q68" i="1"/>
  <c r="Q69" i="1"/>
  <c r="Q70" i="1"/>
  <c r="Q71" i="1"/>
  <c r="Q72" i="1"/>
  <c r="Q73" i="1"/>
  <c r="Q74" i="1"/>
  <c r="Q21" i="1"/>
  <c r="E66" i="2"/>
  <c r="E100" i="1"/>
  <c r="E33" i="2"/>
  <c r="F100" i="1"/>
  <c r="E77" i="1"/>
  <c r="F77" i="1"/>
  <c r="G77" i="1"/>
  <c r="K77" i="1"/>
  <c r="G61" i="1"/>
  <c r="J61" i="1"/>
  <c r="E27" i="1"/>
  <c r="E39" i="2"/>
  <c r="E35" i="1"/>
  <c r="F35" i="1"/>
  <c r="G35" i="1"/>
  <c r="I35" i="1"/>
  <c r="E43" i="1"/>
  <c r="F43" i="1"/>
  <c r="G43" i="1"/>
  <c r="I43" i="1"/>
  <c r="E62" i="1"/>
  <c r="E63" i="2"/>
  <c r="E88" i="1"/>
  <c r="F88" i="1"/>
  <c r="E98" i="1"/>
  <c r="F98" i="1"/>
  <c r="G98" i="1"/>
  <c r="K98" i="1"/>
  <c r="E67" i="1"/>
  <c r="F67" i="1"/>
  <c r="G67" i="1"/>
  <c r="I67" i="1"/>
  <c r="G69" i="1"/>
  <c r="I69" i="1"/>
  <c r="E21" i="1"/>
  <c r="F21" i="1"/>
  <c r="G51" i="1"/>
  <c r="J51" i="1"/>
  <c r="E63" i="1"/>
  <c r="F63" i="1"/>
  <c r="G63" i="1"/>
  <c r="E89" i="1"/>
  <c r="F89" i="1"/>
  <c r="E103" i="1"/>
  <c r="F103" i="1"/>
  <c r="E22" i="1"/>
  <c r="F22" i="1"/>
  <c r="G22" i="1"/>
  <c r="I22" i="1"/>
  <c r="E30" i="1"/>
  <c r="F30" i="1"/>
  <c r="G30" i="1"/>
  <c r="I30" i="1"/>
  <c r="E38" i="1"/>
  <c r="F38" i="1"/>
  <c r="E52" i="1"/>
  <c r="E58" i="2"/>
  <c r="E76" i="1"/>
  <c r="F76" i="1"/>
  <c r="G76" i="1"/>
  <c r="K76" i="1"/>
  <c r="G81" i="1"/>
  <c r="K81" i="1"/>
  <c r="E91" i="1"/>
  <c r="F91" i="1"/>
  <c r="G91" i="1"/>
  <c r="K91" i="1"/>
  <c r="E99" i="1"/>
  <c r="F99" i="1"/>
  <c r="G99" i="1"/>
  <c r="K99" i="1"/>
  <c r="E70" i="1"/>
  <c r="F70" i="1"/>
  <c r="G70" i="1"/>
  <c r="I70" i="1"/>
  <c r="E54" i="1"/>
  <c r="F54" i="1"/>
  <c r="G54" i="1"/>
  <c r="J54" i="1"/>
  <c r="E80" i="1"/>
  <c r="F80" i="1"/>
  <c r="G80" i="1"/>
  <c r="K80" i="1"/>
  <c r="E84" i="1"/>
  <c r="F84" i="1"/>
  <c r="G84" i="1"/>
  <c r="K84" i="1"/>
  <c r="G88" i="1"/>
  <c r="K88" i="1"/>
  <c r="G100" i="1"/>
  <c r="I100" i="1"/>
  <c r="E25" i="1"/>
  <c r="F25" i="1"/>
  <c r="G25" i="1"/>
  <c r="I25" i="1"/>
  <c r="E33" i="1"/>
  <c r="F33" i="1"/>
  <c r="G33" i="1"/>
  <c r="I33" i="1"/>
  <c r="E41" i="1"/>
  <c r="F41" i="1"/>
  <c r="G41" i="1"/>
  <c r="I41" i="1"/>
  <c r="E59" i="1"/>
  <c r="F59" i="1"/>
  <c r="G59" i="1"/>
  <c r="J59" i="1"/>
  <c r="E82" i="1"/>
  <c r="E69" i="2"/>
  <c r="F82" i="1"/>
  <c r="G82" i="1"/>
  <c r="K82" i="1"/>
  <c r="E92" i="1"/>
  <c r="F92" i="1"/>
  <c r="G92" i="1"/>
  <c r="K92" i="1"/>
  <c r="E47" i="1"/>
  <c r="E13" i="2"/>
  <c r="E73" i="1"/>
  <c r="G21" i="1"/>
  <c r="H21" i="1"/>
  <c r="E58" i="1"/>
  <c r="F58" i="1"/>
  <c r="G58" i="1"/>
  <c r="J63" i="1"/>
  <c r="E86" i="1"/>
  <c r="F86" i="1"/>
  <c r="G86" i="1"/>
  <c r="K86" i="1"/>
  <c r="E101" i="1"/>
  <c r="F101" i="1"/>
  <c r="G101" i="1"/>
  <c r="K101" i="1"/>
  <c r="G103" i="1"/>
  <c r="K103" i="1"/>
  <c r="E28" i="1"/>
  <c r="F28" i="1"/>
  <c r="G28" i="1"/>
  <c r="I28" i="1"/>
  <c r="E36" i="1"/>
  <c r="F36" i="1"/>
  <c r="G36" i="1"/>
  <c r="I36" i="1"/>
  <c r="G38" i="1"/>
  <c r="I38" i="1"/>
  <c r="E44" i="1"/>
  <c r="F44" i="1"/>
  <c r="G44" i="1"/>
  <c r="I44" i="1"/>
  <c r="E64" i="1"/>
  <c r="E93" i="1"/>
  <c r="F93" i="1"/>
  <c r="G93" i="1"/>
  <c r="K93" i="1"/>
  <c r="E68" i="1"/>
  <c r="F68" i="1"/>
  <c r="G68" i="1"/>
  <c r="I68" i="1"/>
  <c r="E50" i="1"/>
  <c r="F50" i="1"/>
  <c r="G50" i="1"/>
  <c r="J50" i="1"/>
  <c r="E65" i="1"/>
  <c r="F65" i="1"/>
  <c r="G65" i="1"/>
  <c r="J65" i="1"/>
  <c r="G89" i="1"/>
  <c r="K89" i="1"/>
  <c r="E23" i="1"/>
  <c r="E35" i="2"/>
  <c r="E31" i="1"/>
  <c r="F31" i="1"/>
  <c r="G31" i="1"/>
  <c r="I31" i="1"/>
  <c r="E39" i="1"/>
  <c r="E51" i="2"/>
  <c r="E53" i="1"/>
  <c r="F53" i="1"/>
  <c r="G53" i="1"/>
  <c r="E79" i="1"/>
  <c r="E94" i="1"/>
  <c r="F94" i="1"/>
  <c r="G94" i="1"/>
  <c r="K94" i="1"/>
  <c r="E45" i="1"/>
  <c r="F45" i="1"/>
  <c r="G45" i="1"/>
  <c r="I45" i="1"/>
  <c r="E71" i="1"/>
  <c r="F71" i="1"/>
  <c r="E55" i="1"/>
  <c r="F55" i="1"/>
  <c r="J58" i="1"/>
  <c r="E78" i="1"/>
  <c r="F78" i="1"/>
  <c r="G78" i="1"/>
  <c r="K78" i="1"/>
  <c r="E90" i="1"/>
  <c r="F90" i="1"/>
  <c r="E87" i="1"/>
  <c r="G74" i="1"/>
  <c r="I74" i="1"/>
  <c r="E56" i="1"/>
  <c r="F56" i="1"/>
  <c r="G56" i="1"/>
  <c r="J56" i="1"/>
  <c r="E42" i="1"/>
  <c r="E54" i="2"/>
  <c r="E102" i="1"/>
  <c r="F102" i="1"/>
  <c r="G102" i="1"/>
  <c r="K102" i="1"/>
  <c r="E60" i="2"/>
  <c r="E55" i="2"/>
  <c r="E16" i="2"/>
  <c r="E83" i="1"/>
  <c r="E28" i="2"/>
  <c r="F83" i="1"/>
  <c r="G83" i="1"/>
  <c r="K83" i="1"/>
  <c r="E60" i="1"/>
  <c r="F60" i="1"/>
  <c r="G60" i="1"/>
  <c r="J60" i="1"/>
  <c r="E97" i="1"/>
  <c r="F97" i="1"/>
  <c r="G97" i="1"/>
  <c r="K97" i="1"/>
  <c r="I53" i="1"/>
  <c r="E40" i="1"/>
  <c r="F40" i="1"/>
  <c r="G40" i="1"/>
  <c r="I40" i="1"/>
  <c r="E34" i="1"/>
  <c r="F34" i="1"/>
  <c r="G34" i="1"/>
  <c r="G90" i="1"/>
  <c r="I90" i="1"/>
  <c r="E34" i="2"/>
  <c r="E17" i="2"/>
  <c r="E57" i="1"/>
  <c r="F57" i="1"/>
  <c r="G57" i="1"/>
  <c r="J57" i="1"/>
  <c r="E74" i="1"/>
  <c r="F74" i="1"/>
  <c r="E96" i="1"/>
  <c r="F96" i="1"/>
  <c r="G96" i="1"/>
  <c r="K96" i="1"/>
  <c r="E32" i="1"/>
  <c r="F32" i="1"/>
  <c r="G32" i="1"/>
  <c r="I32" i="1"/>
  <c r="E26" i="1"/>
  <c r="E25" i="2"/>
  <c r="E72" i="2"/>
  <c r="G55" i="1"/>
  <c r="J55" i="1"/>
  <c r="E72" i="1"/>
  <c r="F72" i="1"/>
  <c r="G72" i="1"/>
  <c r="I72" i="1"/>
  <c r="E48" i="1"/>
  <c r="E95" i="1"/>
  <c r="E75" i="1"/>
  <c r="F75" i="1"/>
  <c r="G75" i="1"/>
  <c r="K75" i="1"/>
  <c r="E24" i="1"/>
  <c r="F24" i="1"/>
  <c r="G24" i="1"/>
  <c r="I24" i="1"/>
  <c r="F39" i="1"/>
  <c r="G39" i="1"/>
  <c r="I39" i="1"/>
  <c r="E80" i="2"/>
  <c r="E75" i="2"/>
  <c r="E22" i="2"/>
  <c r="E77" i="2"/>
  <c r="F95" i="1"/>
  <c r="G95" i="1"/>
  <c r="K95" i="1"/>
  <c r="F26" i="1"/>
  <c r="G26" i="1"/>
  <c r="I26" i="1"/>
  <c r="E38" i="2"/>
  <c r="F64" i="1"/>
  <c r="G64" i="1"/>
  <c r="J64" i="1"/>
  <c r="E64" i="2"/>
  <c r="E27" i="2"/>
  <c r="E74" i="2"/>
  <c r="F87" i="1"/>
  <c r="G87" i="1"/>
  <c r="K87" i="1"/>
  <c r="F79" i="1"/>
  <c r="G79" i="1"/>
  <c r="F23" i="1"/>
  <c r="G23" i="1"/>
  <c r="I23" i="1"/>
  <c r="E26" i="2"/>
  <c r="E76" i="2"/>
  <c r="E79" i="2"/>
  <c r="E20" i="2"/>
  <c r="E42" i="2"/>
  <c r="E18" i="2"/>
  <c r="E61" i="2"/>
  <c r="E31" i="2"/>
  <c r="E43" i="2"/>
  <c r="E78" i="2"/>
  <c r="E46" i="2"/>
  <c r="I34" i="1"/>
  <c r="E24" i="2"/>
  <c r="E21" i="2"/>
  <c r="G71" i="1"/>
  <c r="I71" i="1"/>
  <c r="F73" i="1"/>
  <c r="G73" i="1"/>
  <c r="I73" i="1"/>
  <c r="E23" i="2"/>
  <c r="E36" i="2"/>
  <c r="E15" i="2"/>
  <c r="E45" i="2"/>
  <c r="K79" i="1"/>
  <c r="F27" i="1"/>
  <c r="G27" i="1"/>
  <c r="I27" i="1"/>
  <c r="F42" i="1"/>
  <c r="G42" i="1"/>
  <c r="I42" i="1"/>
  <c r="F48" i="1"/>
  <c r="G48" i="1"/>
  <c r="I48" i="1"/>
  <c r="E14" i="2"/>
  <c r="E52" i="2"/>
  <c r="E47" i="2"/>
  <c r="E29" i="2"/>
  <c r="E53" i="2"/>
  <c r="E30" i="2"/>
  <c r="E48" i="2"/>
  <c r="F52" i="1"/>
  <c r="G52" i="1"/>
  <c r="I52" i="1"/>
  <c r="F62" i="1"/>
  <c r="G62" i="1"/>
  <c r="J62" i="1"/>
  <c r="E32" i="2"/>
  <c r="E44" i="2"/>
  <c r="F47" i="1"/>
  <c r="G47" i="1"/>
  <c r="I47" i="1"/>
  <c r="E110" i="1"/>
  <c r="F110" i="1"/>
  <c r="E113" i="1"/>
  <c r="F113" i="1"/>
  <c r="G113" i="1"/>
  <c r="K113" i="1"/>
  <c r="G111" i="1"/>
  <c r="K111" i="1"/>
  <c r="E105" i="1"/>
  <c r="F105" i="1"/>
  <c r="G105" i="1"/>
  <c r="K105" i="1"/>
  <c r="E108" i="1"/>
  <c r="F108" i="1"/>
  <c r="G108" i="1"/>
  <c r="K108" i="1"/>
  <c r="G106" i="1"/>
  <c r="K106" i="1"/>
  <c r="E111" i="1"/>
  <c r="F111" i="1"/>
  <c r="E106" i="1"/>
  <c r="F106" i="1"/>
  <c r="G104" i="1"/>
  <c r="E109" i="1"/>
  <c r="F109" i="1"/>
  <c r="G109" i="1"/>
  <c r="K109" i="1"/>
  <c r="G107" i="1"/>
  <c r="K107" i="1"/>
  <c r="E112" i="1"/>
  <c r="F112" i="1"/>
  <c r="G112" i="1"/>
  <c r="K112" i="1"/>
  <c r="G110" i="1"/>
  <c r="K110" i="1"/>
  <c r="K104" i="1"/>
  <c r="C11" i="1"/>
  <c r="C12" i="1"/>
  <c r="O116" i="1" l="1"/>
  <c r="O115" i="1"/>
  <c r="O114" i="1"/>
  <c r="O117" i="1"/>
  <c r="C16" i="1"/>
  <c r="D18" i="1" s="1"/>
  <c r="O33" i="1"/>
  <c r="O58" i="1"/>
  <c r="O87" i="1"/>
  <c r="O38" i="1"/>
  <c r="O50" i="1"/>
  <c r="O30" i="1"/>
  <c r="O24" i="1"/>
  <c r="O89" i="1"/>
  <c r="O48" i="1"/>
  <c r="O68" i="1"/>
  <c r="O91" i="1"/>
  <c r="O85" i="1"/>
  <c r="O99" i="1"/>
  <c r="O100" i="1"/>
  <c r="O61" i="1"/>
  <c r="O98" i="1"/>
  <c r="O21" i="1"/>
  <c r="O57" i="1"/>
  <c r="O27" i="1"/>
  <c r="O106" i="1"/>
  <c r="O32" i="1"/>
  <c r="O74" i="1"/>
  <c r="O103" i="1"/>
  <c r="O90" i="1"/>
  <c r="O83" i="1"/>
  <c r="O76" i="1"/>
  <c r="O23" i="1"/>
  <c r="O81" i="1"/>
  <c r="O108" i="1"/>
  <c r="O77" i="1"/>
  <c r="O49" i="1"/>
  <c r="O52" i="1"/>
  <c r="O31" i="1"/>
  <c r="O22" i="1"/>
  <c r="O63" i="1"/>
  <c r="O75" i="1"/>
  <c r="O111" i="1"/>
  <c r="O95" i="1"/>
  <c r="O102" i="1"/>
  <c r="O104" i="1"/>
  <c r="O71" i="1"/>
  <c r="O84" i="1"/>
  <c r="O47" i="1"/>
  <c r="O28" i="1"/>
  <c r="O70" i="1"/>
  <c r="O55" i="1"/>
  <c r="O36" i="1"/>
  <c r="O69" i="1"/>
  <c r="O94" i="1"/>
  <c r="O40" i="1"/>
  <c r="C15" i="1"/>
  <c r="O113" i="1"/>
  <c r="O112" i="1"/>
  <c r="O107" i="1"/>
  <c r="O93" i="1"/>
  <c r="O86" i="1"/>
  <c r="O34" i="1"/>
  <c r="O26" i="1"/>
  <c r="O25" i="1"/>
  <c r="O45" i="1"/>
  <c r="O54" i="1"/>
  <c r="O42" i="1"/>
  <c r="O65" i="1"/>
  <c r="O96" i="1"/>
  <c r="O59" i="1"/>
  <c r="O41" i="1"/>
  <c r="O101" i="1"/>
  <c r="O73" i="1"/>
  <c r="O56" i="1"/>
  <c r="O97" i="1"/>
  <c r="O79" i="1"/>
  <c r="O29" i="1"/>
  <c r="O82" i="1"/>
  <c r="O60" i="1"/>
  <c r="O66" i="1"/>
  <c r="O64" i="1"/>
  <c r="O51" i="1"/>
  <c r="O88" i="1"/>
  <c r="O105" i="1"/>
  <c r="O39" i="1"/>
  <c r="O92" i="1"/>
  <c r="O80" i="1"/>
  <c r="O62" i="1"/>
  <c r="O43" i="1"/>
  <c r="O35" i="1"/>
  <c r="O53" i="1"/>
  <c r="O46" i="1"/>
  <c r="O78" i="1"/>
  <c r="O110" i="1"/>
  <c r="O67" i="1"/>
  <c r="O44" i="1"/>
  <c r="O37" i="1"/>
  <c r="O109" i="1"/>
  <c r="O72" i="1"/>
  <c r="F18" i="1" l="1"/>
  <c r="F19" i="1" s="1"/>
  <c r="C18" i="1"/>
</calcChain>
</file>

<file path=xl/sharedStrings.xml><?xml version="1.0" encoding="utf-8"?>
<sst xmlns="http://schemas.openxmlformats.org/spreadsheetml/2006/main" count="867" uniqueCount="347">
  <si>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</si>
  <si>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</si>
  <si>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</si>
  <si>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</si>
  <si>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</si>
  <si>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</si>
  <si>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</si>
  <si>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</si>
  <si>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</si>
  <si>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</si>
  <si>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</si>
  <si>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</si>
  <si>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</si>
  <si>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</si>
  <si>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</si>
  <si>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</si>
  <si>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</si>
  <si>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</si>
  <si>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</si>
  <si>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</si>
  <si>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</si>
  <si>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</si>
  <si>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</si>
  <si>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</si>
  <si>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</si>
  <si>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</si>
  <si>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</si>
  <si>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</si>
  <si>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</si>
  <si>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</si>
  <si>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Bull.21</t>
  </si>
  <si>
    <t>B</t>
  </si>
  <si>
    <t>Locher K</t>
  </si>
  <si>
    <t>Mavrofridis G</t>
  </si>
  <si>
    <t>BBSAG Bull.57</t>
  </si>
  <si>
    <t>BBSAG Bull.58</t>
  </si>
  <si>
    <t>BBSAG Bull.88</t>
  </si>
  <si>
    <t>Blaettler E</t>
  </si>
  <si>
    <t>BBSAG Bull.94</t>
  </si>
  <si>
    <t>IBVS 2806</t>
  </si>
  <si>
    <t>IBVS 5502</t>
  </si>
  <si>
    <t>I</t>
  </si>
  <si>
    <t>EA</t>
  </si>
  <si>
    <t>IBVS 5677</t>
  </si>
  <si>
    <t># of data points:</t>
  </si>
  <si>
    <t>BZ Eri / GSC 04732-01278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</si>
  <si>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</si>
  <si>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</si>
  <si>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</si>
  <si>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</si>
  <si>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</si>
  <si>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</si>
  <si>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</si>
  <si>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5871</t>
  </si>
  <si>
    <t>OEJV 0107</t>
  </si>
  <si>
    <t>II</t>
  </si>
  <si>
    <t>IBVS 5920</t>
  </si>
  <si>
    <t>Add cycle</t>
  </si>
  <si>
    <t>Old Cycle</t>
  </si>
  <si>
    <t>IBVS 5960</t>
  </si>
  <si>
    <t>IBVS 6011</t>
  </si>
  <si>
    <t>OEJV 0142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</si>
  <si>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</si>
  <si>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</si>
  <si>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</si>
  <si>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</si>
  <si>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</si>
  <si>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</si>
  <si>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</si>
  <si>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</si>
  <si>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</si>
  <si>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</si>
  <si>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</si>
  <si>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</si>
  <si>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</si>
  <si>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2425558.456 </t>
  </si>
  <si>
    <t> 07.11.1928 22:56 </t>
  </si>
  <si>
    <t> 0.011 </t>
  </si>
  <si>
    <t>P </t>
  </si>
  <si>
    <t> R.Kippenhahn </t>
  </si>
  <si>
    <t> AN 282.75 </t>
  </si>
  <si>
    <t>2426224.604 </t>
  </si>
  <si>
    <t> 05.09.1930 02:29 </t>
  </si>
  <si>
    <t> -0.004 </t>
  </si>
  <si>
    <t> L.Meinunger </t>
  </si>
  <si>
    <t> MVS 3.200 </t>
  </si>
  <si>
    <t>2427101.318 </t>
  </si>
  <si>
    <t> 28.01.1933 19:37 </t>
  </si>
  <si>
    <t> 0.006 </t>
  </si>
  <si>
    <t>2427421.438 </t>
  </si>
  <si>
    <t> 14.12.1933 22:30 </t>
  </si>
  <si>
    <t>2427471.254 </t>
  </si>
  <si>
    <t> 02.02.1934 18:05 </t>
  </si>
  <si>
    <t> -0.001 </t>
  </si>
  <si>
    <t>2430378.322 </t>
  </si>
  <si>
    <t> 18.01.1942 19:43 </t>
  </si>
  <si>
    <t> -0.005 </t>
  </si>
  <si>
    <t>2430730.350 </t>
  </si>
  <si>
    <t> 05.01.1943 20:24 </t>
  </si>
  <si>
    <t> 0.012 </t>
  </si>
  <si>
    <t>2432795.575 </t>
  </si>
  <si>
    <t> 01.09.1948 01:48 </t>
  </si>
  <si>
    <t> 0.001 </t>
  </si>
  <si>
    <t>2433154.558 </t>
  </si>
  <si>
    <t> 26.08.1949 01:23 </t>
  </si>
  <si>
    <t> -0.000 </t>
  </si>
  <si>
    <t>2434665.547 </t>
  </si>
  <si>
    <t> 15.10.1953 01:07 </t>
  </si>
  <si>
    <t> 0.002 </t>
  </si>
  <si>
    <t>2434709.408 </t>
  </si>
  <si>
    <t> 27.11.1953 21:47 </t>
  </si>
  <si>
    <t> 0.027 </t>
  </si>
  <si>
    <t>2435721.580 </t>
  </si>
  <si>
    <t> 05.09.1956 01:55 </t>
  </si>
  <si>
    <t> 0.004 </t>
  </si>
  <si>
    <t>2435892.282 </t>
  </si>
  <si>
    <t> 22.02.1957 18:46 </t>
  </si>
  <si>
    <t> 0.014 </t>
  </si>
  <si>
    <t>2436085.578 </t>
  </si>
  <si>
    <t> 04.09.1957 01:52 </t>
  </si>
  <si>
    <t> 0.037 </t>
  </si>
  <si>
    <t>2436904.452 </t>
  </si>
  <si>
    <t> 01.12.1959 22:50 </t>
  </si>
  <si>
    <t> -0.011 </t>
  </si>
  <si>
    <t>2437235.549 </t>
  </si>
  <si>
    <t> 28.10.1960 01:10 </t>
  </si>
  <si>
    <t>2437584.578 </t>
  </si>
  <si>
    <t> 12.10.1961 01:52 </t>
  </si>
  <si>
    <t> 0.005 </t>
  </si>
  <si>
    <t>2437942.565 </t>
  </si>
  <si>
    <t> 05.10.1962 01:33 </t>
  </si>
  <si>
    <t>2437992.374 </t>
  </si>
  <si>
    <t> 23.11.1962 20:58 </t>
  </si>
  <si>
    <t>2438328.438 </t>
  </si>
  <si>
    <t> 25.10.1963 22:30 </t>
  </si>
  <si>
    <t> -0.006 </t>
  </si>
  <si>
    <t>2438439.381 </t>
  </si>
  <si>
    <t> 13.02.1964 21:08 </t>
  </si>
  <si>
    <t> 0.021 </t>
  </si>
  <si>
    <t>2438441.350 </t>
  </si>
  <si>
    <t> 15.02.1964 20:24 </t>
  </si>
  <si>
    <t> -0.002 </t>
  </si>
  <si>
    <t>2438462.299 </t>
  </si>
  <si>
    <t> 07.03.1964 19:10 </t>
  </si>
  <si>
    <t> 0.025 </t>
  </si>
  <si>
    <t>2442448.302 </t>
  </si>
  <si>
    <t> 04.02.1975 19:14 </t>
  </si>
  <si>
    <t>V </t>
  </si>
  <si>
    <t> R.Diethelm </t>
  </si>
  <si>
    <t> BBS 21 </t>
  </si>
  <si>
    <t>2442450.289 </t>
  </si>
  <si>
    <t> 06.02.1975 18:56 </t>
  </si>
  <si>
    <t>2442452.278 </t>
  </si>
  <si>
    <t> 08.02.1975 18:40 </t>
  </si>
  <si>
    <t>2442452.284 </t>
  </si>
  <si>
    <t> 08.02.1975 18:48 </t>
  </si>
  <si>
    <t> 0.008 </t>
  </si>
  <si>
    <t> K.Locher </t>
  </si>
  <si>
    <t>2442835.172 </t>
  </si>
  <si>
    <t> 26.02.1976 16:07 </t>
  </si>
  <si>
    <t>E </t>
  </si>
  <si>
    <t>?</t>
  </si>
  <si>
    <t> Srivastava &amp; Sinha </t>
  </si>
  <si>
    <t>IBVS 1919 </t>
  </si>
  <si>
    <t>2442836.164 </t>
  </si>
  <si>
    <t> 27.02.1976 15:56 </t>
  </si>
  <si>
    <t>2442840.155 </t>
  </si>
  <si>
    <t> 02.03.1976 15:43 </t>
  </si>
  <si>
    <t>2444233.5800 </t>
  </si>
  <si>
    <t> 26.12.1979 01:55 </t>
  </si>
  <si>
    <t> 0.0001 </t>
  </si>
  <si>
    <t> G.W.Wolf et al. </t>
  </si>
  <si>
    <t>IBVS 2185 </t>
  </si>
  <si>
    <t>2444581.2972 </t>
  </si>
  <si>
    <t> 07.12.1980 19:07 </t>
  </si>
  <si>
    <t> 0.0243 </t>
  </si>
  <si>
    <t> Srivastava &amp; Uddin </t>
  </si>
  <si>
    <t> ASS 126.108 </t>
  </si>
  <si>
    <t>2444590.2449 </t>
  </si>
  <si>
    <t> 16.12.1980 17:52 </t>
  </si>
  <si>
    <t> 0.0057 </t>
  </si>
  <si>
    <t>2444591.2166 </t>
  </si>
  <si>
    <t> 17.12.1980 17:11 </t>
  </si>
  <si>
    <t> -0.0189 </t>
  </si>
  <si>
    <t>2444604.1888 </t>
  </si>
  <si>
    <t> 30.12.1980 16:31 </t>
  </si>
  <si>
    <t> 0.0020 </t>
  </si>
  <si>
    <t>2444605.1857 </t>
  </si>
  <si>
    <t> 31.12.1980 16:27 </t>
  </si>
  <si>
    <t> 0.0027 </t>
  </si>
  <si>
    <t>2444902.460 </t>
  </si>
  <si>
    <t> 24.10.1981 23:02 </t>
  </si>
  <si>
    <t> 0.061 </t>
  </si>
  <si>
    <t> G.Mavrofridis </t>
  </si>
  <si>
    <t> BBS 57 </t>
  </si>
  <si>
    <t>2444908.391 </t>
  </si>
  <si>
    <t> 30.10.1981 21:23 </t>
  </si>
  <si>
    <t> BBS 58 </t>
  </si>
  <si>
    <t>2444910.361 </t>
  </si>
  <si>
    <t> 01.11.1981 20:39 </t>
  </si>
  <si>
    <t> -0.008 </t>
  </si>
  <si>
    <t>2444912.370 </t>
  </si>
  <si>
    <t> 03.11.1981 20:52 </t>
  </si>
  <si>
    <t>2444914.368 </t>
  </si>
  <si>
    <t> 05.11.1981 20:49 </t>
  </si>
  <si>
    <t>2444928.313 </t>
  </si>
  <si>
    <t> 19.11.1981 19:30 </t>
  </si>
  <si>
    <t>2444930.301 </t>
  </si>
  <si>
    <t> 21.11.1981 19:13 </t>
  </si>
  <si>
    <t> 0.007 </t>
  </si>
  <si>
    <t>2447159.258 </t>
  </si>
  <si>
    <t> 29.12.1987 18:11 </t>
  </si>
  <si>
    <t> 0.009 </t>
  </si>
  <si>
    <t> BBS 88 </t>
  </si>
  <si>
    <t>2447946.298 </t>
  </si>
  <si>
    <t> 23.02.1990 19:09 </t>
  </si>
  <si>
    <t> E.Blättler </t>
  </si>
  <si>
    <t> BBS 94 </t>
  </si>
  <si>
    <t>2452266.0565 </t>
  </si>
  <si>
    <t> 22.12.2001 13:21 </t>
  </si>
  <si>
    <t> 0.0034 </t>
  </si>
  <si>
    <t> Nagai </t>
  </si>
  <si>
    <t>VSB 39 </t>
  </si>
  <si>
    <t>2452279.0088 </t>
  </si>
  <si>
    <t> 04.01.2002 12:12 </t>
  </si>
  <si>
    <t> 0.0044 </t>
  </si>
  <si>
    <t>VSB 40 </t>
  </si>
  <si>
    <t>2452982.6971 </t>
  </si>
  <si>
    <t> 09.12.2003 04:43 </t>
  </si>
  <si>
    <t> 0.0045 </t>
  </si>
  <si>
    <t> S.Dvorak </t>
  </si>
  <si>
    <t>IBVS 5502 </t>
  </si>
  <si>
    <t>2453306.8076 </t>
  </si>
  <si>
    <t> 28.10.2004 07:22 </t>
  </si>
  <si>
    <t> -0.0000 </t>
  </si>
  <si>
    <t>C </t>
  </si>
  <si>
    <t>-I</t>
  </si>
  <si>
    <t> W.Ogloza et al. </t>
  </si>
  <si>
    <t>IBVS 5843 </t>
  </si>
  <si>
    <t>2453347.9888 </t>
  </si>
  <si>
    <t> 08.12.2004 11:43 </t>
  </si>
  <si>
    <t>41841</t>
  </si>
  <si>
    <t> 0.0026 </t>
  </si>
  <si>
    <t>VSB 43 </t>
  </si>
  <si>
    <t>2453376.5493 </t>
  </si>
  <si>
    <t> 06.01.2005 01:10 </t>
  </si>
  <si>
    <t>41884</t>
  </si>
  <si>
    <t> 0.0038 </t>
  </si>
  <si>
    <t> S. Dvorak </t>
  </si>
  <si>
    <t>IBVS 5677 </t>
  </si>
  <si>
    <t>2453630.2617 </t>
  </si>
  <si>
    <t> 16.09.2005 18:16 </t>
  </si>
  <si>
    <t>42266</t>
  </si>
  <si>
    <t> 0.0033 </t>
  </si>
  <si>
    <t> Maehara </t>
  </si>
  <si>
    <t>VSB 44 </t>
  </si>
  <si>
    <t>2454467.1169 </t>
  </si>
  <si>
    <t> 01.01.2008 14:48 </t>
  </si>
  <si>
    <t>43526</t>
  </si>
  <si>
    <t> 0.0041 </t>
  </si>
  <si>
    <t> H.Itoh </t>
  </si>
  <si>
    <t>VSB 48 </t>
  </si>
  <si>
    <t>2454783.9268 </t>
  </si>
  <si>
    <t> 13.11.2008 10:14 </t>
  </si>
  <si>
    <t>44003</t>
  </si>
  <si>
    <t> 0.0049 </t>
  </si>
  <si>
    <t>IBVS 5871 </t>
  </si>
  <si>
    <t>2454831.4141 </t>
  </si>
  <si>
    <t> 30.12.2008 21:56 </t>
  </si>
  <si>
    <t>44074.5</t>
  </si>
  <si>
    <t> 0.0040 </t>
  </si>
  <si>
    <t>R</t>
  </si>
  <si>
    <t> R.Ehrenberger </t>
  </si>
  <si>
    <t>OEJV 0107 </t>
  </si>
  <si>
    <t>2454845.0288 </t>
  </si>
  <si>
    <t> 13.01.2009 12:41 </t>
  </si>
  <si>
    <t>44095</t>
  </si>
  <si>
    <t> 0.0032 </t>
  </si>
  <si>
    <t> K.Nakajima </t>
  </si>
  <si>
    <t>VSB 50 </t>
  </si>
  <si>
    <t>2455137.9278 </t>
  </si>
  <si>
    <t> 02.11.2009 10:16 </t>
  </si>
  <si>
    <t>44536</t>
  </si>
  <si>
    <t>IBVS 5920 </t>
  </si>
  <si>
    <t>2455511.8554 </t>
  </si>
  <si>
    <t> 11.11.2010 08:31 </t>
  </si>
  <si>
    <t>45099</t>
  </si>
  <si>
    <t> 0.0031 </t>
  </si>
  <si>
    <t>IBVS 5960 </t>
  </si>
  <si>
    <t>2455571.9625 </t>
  </si>
  <si>
    <t> 10.01.2011 11:06 </t>
  </si>
  <si>
    <t>45189.5</t>
  </si>
  <si>
    <t> 0.0028 </t>
  </si>
  <si>
    <t>Ic</t>
  </si>
  <si>
    <t> K.Nagai </t>
  </si>
  <si>
    <t>VSB 53 </t>
  </si>
  <si>
    <t>2455849.9162 </t>
  </si>
  <si>
    <t> 15.10.2011 09:59 </t>
  </si>
  <si>
    <t>45608</t>
  </si>
  <si>
    <t> 0.0013 </t>
  </si>
  <si>
    <t>IBVS 6011 </t>
  </si>
  <si>
    <t>2455856.561 </t>
  </si>
  <si>
    <t> 22.10.2011 01:27 </t>
  </si>
  <si>
    <t>45618</t>
  </si>
  <si>
    <t>o</t>
  </si>
  <si>
    <t> A.Paschke </t>
  </si>
  <si>
    <t>OEJV 0142 </t>
  </si>
  <si>
    <t>2455886.1150 </t>
  </si>
  <si>
    <t> 20.11.2011 14:45 </t>
  </si>
  <si>
    <t>45662.5</t>
  </si>
  <si>
    <t>Rc</t>
  </si>
  <si>
    <t>2455916.0065 </t>
  </si>
  <si>
    <t> 20.12.2011 12:09 </t>
  </si>
  <si>
    <t>45707.5</t>
  </si>
  <si>
    <t> 0.0067 </t>
  </si>
  <si>
    <t>2455935.9281 </t>
  </si>
  <si>
    <t> 09.01.2012 10:16 </t>
  </si>
  <si>
    <t>45737.5</t>
  </si>
  <si>
    <t>VSB 55 </t>
  </si>
  <si>
    <t>2456274.9855 </t>
  </si>
  <si>
    <t> 13.12.2012 11:39 </t>
  </si>
  <si>
    <t>46248</t>
  </si>
  <si>
    <t> 0.0017 </t>
  </si>
  <si>
    <t>2456274.9869 </t>
  </si>
  <si>
    <t> 13.12.2012 11:41 </t>
  </si>
  <si>
    <t>2456274.9870 </t>
  </si>
  <si>
    <t>2456287.9343 </t>
  </si>
  <si>
    <t> 26.12.2012 10:25 </t>
  </si>
  <si>
    <t>46267.5</t>
  </si>
  <si>
    <t> -0.0008 </t>
  </si>
  <si>
    <t>2456287.9353 </t>
  </si>
  <si>
    <t> 26.12.2012 10:26 </t>
  </si>
  <si>
    <t> 0.0002 </t>
  </si>
  <si>
    <t>2456287.9356 </t>
  </si>
  <si>
    <t> 26.12.2012 10:27 </t>
  </si>
  <si>
    <t> 0.0005 </t>
  </si>
  <si>
    <t>2457055.384 </t>
  </si>
  <si>
    <t> 01.02.2015 21:12 </t>
  </si>
  <si>
    <t>47423</t>
  </si>
  <si>
    <t> 0.000 </t>
  </si>
  <si>
    <t>OEJV 0172 </t>
  </si>
  <si>
    <t>BAD?</t>
  </si>
  <si>
    <t>IBVS 1919</t>
  </si>
  <si>
    <t>VSB 067</t>
  </si>
  <si>
    <t>VSB 069</t>
  </si>
  <si>
    <t>U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</si>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</sst>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8" fillId="0" borderId="0"/>
    <xf numFmtId="0" fontId="28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6" fontId="16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Eri - O-C Diagr.</a:t>
            </a:r>
          </a:p>
        </c:rich>
      </c:tx>
      <c:layout>
        <c:manualLayout>
          <c:xMode val="edge"/>
          <c:yMode val="edge"/>
          <c:x val="0.393984962406015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769252958613219"/>
          <c:w val="0.8105263157894736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7-475B-B990-C8AC6286DD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1.0999999998603016E-2</c:v>
                </c:pt>
                <c:pt idx="2">
                  <c:v>-3.6103000020375475E-3</c:v>
                </c:pt>
                <c:pt idx="3">
                  <c:v>5.85769999815966E-3</c:v>
                </c:pt>
                <c:pt idx="4">
                  <c:v>-4.1305000013380777E-3</c:v>
                </c:pt>
                <c:pt idx="5">
                  <c:v>-8.8799999866751023E-4</c:v>
                </c:pt>
                <c:pt idx="6">
                  <c:v>-5.415699997683987E-3</c:v>
                </c:pt>
                <c:pt idx="7">
                  <c:v>1.2431299997842871E-2</c:v>
                </c:pt>
                <c:pt idx="8">
                  <c:v>5.0534999900264665E-4</c:v>
                </c:pt>
                <c:pt idx="9">
                  <c:v>-4.3369999912101775E-4</c:v>
                </c:pt>
                <c:pt idx="10">
                  <c:v>1.588799997989554E-3</c:v>
                </c:pt>
                <c:pt idx="11">
                  <c:v>2.7362200002244208E-2</c:v>
                </c:pt>
                <c:pt idx="12">
                  <c:v>4.1297999996459112E-3</c:v>
                </c:pt>
                <c:pt idx="13">
                  <c:v>1.4414099998248275E-2</c:v>
                </c:pt>
                <c:pt idx="14">
                  <c:v>3.6915000004228204E-2</c:v>
                </c:pt>
                <c:pt idx="15">
                  <c:v>-1.0818300004757475E-2</c:v>
                </c:pt>
                <c:pt idx="16">
                  <c:v>-2.6131499980692752E-3</c:v>
                </c:pt>
                <c:pt idx="17">
                  <c:v>4.9992999993264675E-3</c:v>
                </c:pt>
                <c:pt idx="18">
                  <c:v>4.3154000013601035E-3</c:v>
                </c:pt>
                <c:pt idx="19">
                  <c:v>5.5790000624256209E-4</c:v>
                </c:pt>
                <c:pt idx="20">
                  <c:v>-5.5127000014181249E-3</c:v>
                </c:pt>
                <c:pt idx="21">
                  <c:v>2.108060000318801E-2</c:v>
                </c:pt>
                <c:pt idx="22">
                  <c:v>-2.4296999981743284E-3</c:v>
                </c:pt>
                <c:pt idx="23">
                  <c:v>2.521215000160737E-2</c:v>
                </c:pt>
                <c:pt idx="24">
                  <c:v>1.1357000003044959E-2</c:v>
                </c:pt>
                <c:pt idx="25">
                  <c:v>5.8466999980737455E-3</c:v>
                </c:pt>
                <c:pt idx="26">
                  <c:v>2.3364000007859431E-3</c:v>
                </c:pt>
                <c:pt idx="27">
                  <c:v>8.336400002008304E-3</c:v>
                </c:pt>
                <c:pt idx="28">
                  <c:v>2.273750003951136E-3</c:v>
                </c:pt>
                <c:pt idx="31">
                  <c:v>-1.9814000042970292E-3</c:v>
                </c:pt>
                <c:pt idx="32">
                  <c:v>3.9980000001378357E-3</c:v>
                </c:pt>
                <c:pt idx="45">
                  <c:v>6.0837500001071021E-2</c:v>
                </c:pt>
                <c:pt idx="46">
                  <c:v>1.4306600001873448E-2</c:v>
                </c:pt>
                <c:pt idx="47">
                  <c:v>-8.2037000029231422E-3</c:v>
                </c:pt>
                <c:pt idx="48">
                  <c:v>8.2860000038635917E-3</c:v>
                </c:pt>
                <c:pt idx="49">
                  <c:v>1.3775700004771352E-2</c:v>
                </c:pt>
                <c:pt idx="50">
                  <c:v>1.1203599999134894E-2</c:v>
                </c:pt>
                <c:pt idx="51">
                  <c:v>6.6932999980053864E-3</c:v>
                </c:pt>
                <c:pt idx="52">
                  <c:v>8.8377000065520406E-3</c:v>
                </c:pt>
                <c:pt idx="53">
                  <c:v>7.2692000030656345E-3</c:v>
                </c:pt>
                <c:pt idx="69">
                  <c:v>4.3781999993370846E-3</c:v>
                </c:pt>
                <c:pt idx="79">
                  <c:v>3.4769999911077321E-4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7-475B-B990-C8AC6286DD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1.1573750001844019E-2</c:v>
                </c:pt>
                <c:pt idx="30">
                  <c:v>-5.4814000031910837E-3</c:v>
                </c:pt>
                <c:pt idx="33">
                  <c:v>1.1797999999544118E-2</c:v>
                </c:pt>
                <c:pt idx="34">
                  <c:v>1.2820000119972974E-4</c:v>
                </c:pt>
                <c:pt idx="35">
                  <c:v>2.4280850004288368E-2</c:v>
                </c:pt>
                <c:pt idx="36">
                  <c:v>3.0780850000155624E-2</c:v>
                </c:pt>
                <c:pt idx="37">
                  <c:v>2.8450000536395237E-4</c:v>
                </c:pt>
                <c:pt idx="38">
                  <c:v>5.6844999999157153E-3</c:v>
                </c:pt>
                <c:pt idx="39">
                  <c:v>-2.6870650006458163E-2</c:v>
                </c:pt>
                <c:pt idx="40">
                  <c:v>-1.8870650004828349E-2</c:v>
                </c:pt>
                <c:pt idx="41">
                  <c:v>2.0124000002397224E-3</c:v>
                </c:pt>
                <c:pt idx="42">
                  <c:v>3.4123999939765781E-3</c:v>
                </c:pt>
                <c:pt idx="43">
                  <c:v>2.6572500064503402E-3</c:v>
                </c:pt>
                <c:pt idx="44">
                  <c:v>6.8572500022128224E-3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7-475B-B990-C8AC6286DD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4">
                  <c:v>3.4387999985483475E-3</c:v>
                </c:pt>
                <c:pt idx="55">
                  <c:v>4.4218500042916276E-3</c:v>
                </c:pt>
                <c:pt idx="56">
                  <c:v>4.5008999950368889E-3</c:v>
                </c:pt>
                <c:pt idx="57">
                  <c:v>-7.90000194683671E-6</c:v>
                </c:pt>
                <c:pt idx="58">
                  <c:v>2.6459000000613742E-3</c:v>
                </c:pt>
                <c:pt idx="59">
                  <c:v>3.8315999991027638E-3</c:v>
                </c:pt>
                <c:pt idx="60">
                  <c:v>3.2534000056330115E-3</c:v>
                </c:pt>
                <c:pt idx="61">
                  <c:v>4.1274000031989999E-3</c:v>
                </c:pt>
                <c:pt idx="62">
                  <c:v>4.8897000015131198E-3</c:v>
                </c:pt>
                <c:pt idx="63">
                  <c:v>4.1075499975704588E-3</c:v>
                </c:pt>
                <c:pt idx="64">
                  <c:v>3.240500001993496E-3</c:v>
                </c:pt>
                <c:pt idx="65">
                  <c:v>3.2263999964925461E-3</c:v>
                </c:pt>
                <c:pt idx="66">
                  <c:v>3.0601000034948811E-3</c:v>
                </c:pt>
                <c:pt idx="67">
                  <c:v>2.7660499981720932E-3</c:v>
                </c:pt>
                <c:pt idx="68">
                  <c:v>1.2791999979526736E-3</c:v>
                </c:pt>
                <c:pt idx="70">
                  <c:v>2.8087500031688251E-3</c:v>
                </c:pt>
                <c:pt idx="71">
                  <c:v>6.6542499989736825E-3</c:v>
                </c:pt>
                <c:pt idx="72">
                  <c:v>3.1512499990640208E-3</c:v>
                </c:pt>
                <c:pt idx="73">
                  <c:v>1.7152000000351109E-3</c:v>
                </c:pt>
                <c:pt idx="74">
                  <c:v>3.1152000010479242E-3</c:v>
                </c:pt>
                <c:pt idx="75">
                  <c:v>3.2151999985217117E-3</c:v>
                </c:pt>
                <c:pt idx="76">
                  <c:v>-8.0175000039162114E-4</c:v>
                </c:pt>
                <c:pt idx="77">
                  <c:v>1.9824999617412686E-4</c:v>
                </c:pt>
                <c:pt idx="78">
                  <c:v>4.9824999587144703E-4</c:v>
                </c:pt>
                <c:pt idx="80">
                  <c:v>-1.2710010923910886E-4</c:v>
                </c:pt>
                <c:pt idx="81">
                  <c:v>5.7290009863208979E-4</c:v>
                </c:pt>
                <c:pt idx="82">
                  <c:v>2.9729002126259729E-3</c:v>
                </c:pt>
                <c:pt idx="83">
                  <c:v>-1.866149999841582E-3</c:v>
                </c:pt>
                <c:pt idx="84">
                  <c:v>-1.5661500001442619E-3</c:v>
                </c:pt>
                <c:pt idx="85">
                  <c:v>2.4338500006706454E-3</c:v>
                </c:pt>
                <c:pt idx="86">
                  <c:v>2.132500012521632E-4</c:v>
                </c:pt>
                <c:pt idx="87">
                  <c:v>5.1325000094948336E-4</c:v>
                </c:pt>
                <c:pt idx="88">
                  <c:v>3.7132500001462176E-3</c:v>
                </c:pt>
                <c:pt idx="89">
                  <c:v>-8.3460000314516947E-4</c:v>
                </c:pt>
                <c:pt idx="90">
                  <c:v>-8.3460000314516947E-4</c:v>
                </c:pt>
                <c:pt idx="91">
                  <c:v>1.6540000069653615E-4</c:v>
                </c:pt>
                <c:pt idx="92">
                  <c:v>1.6540000069653615E-4</c:v>
                </c:pt>
                <c:pt idx="93">
                  <c:v>-2.27949938562233E-4</c:v>
                </c:pt>
                <c:pt idx="94">
                  <c:v>-1.0551999730523676E-3</c:v>
                </c:pt>
                <c:pt idx="95">
                  <c:v>4.4479980715550482E-4</c:v>
                </c:pt>
                <c:pt idx="96">
                  <c:v>2.1932999152340926E-3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7-475B-B990-C8AC6286DD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7-475B-B990-C8AC6286DD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7-475B-B990-C8AC6286DD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7-475B-B990-C8AC6286DD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1.9772251773917893E-2</c:v>
                </c:pt>
                <c:pt idx="1">
                  <c:v>1.9772251773917893E-2</c:v>
                </c:pt>
                <c:pt idx="2">
                  <c:v>1.9387984446240007E-2</c:v>
                </c:pt>
                <c:pt idx="3">
                  <c:v>1.8882268720881279E-2</c:v>
                </c:pt>
                <c:pt idx="4">
                  <c:v>1.8697605857530591E-2</c:v>
                </c:pt>
                <c:pt idx="5">
                  <c:v>1.8668872009498846E-2</c:v>
                </c:pt>
                <c:pt idx="6">
                  <c:v>1.6991964638366146E-2</c:v>
                </c:pt>
                <c:pt idx="7">
                  <c:v>1.678891211227514E-2</c:v>
                </c:pt>
                <c:pt idx="8">
                  <c:v>1.5597606772878948E-2</c:v>
                </c:pt>
                <c:pt idx="9">
                  <c:v>1.5390531508063498E-2</c:v>
                </c:pt>
                <c:pt idx="10">
                  <c:v>1.4518938117767201E-2</c:v>
                </c:pt>
                <c:pt idx="11">
                  <c:v>1.4493652331499265E-2</c:v>
                </c:pt>
                <c:pt idx="12">
                  <c:v>1.3909780539494185E-2</c:v>
                </c:pt>
                <c:pt idx="13">
                  <c:v>1.3811319220238736E-2</c:v>
                </c:pt>
                <c:pt idx="14">
                  <c:v>1.3699831889875561E-2</c:v>
                </c:pt>
                <c:pt idx="15">
                  <c:v>1.3227447428233657E-2</c:v>
                </c:pt>
                <c:pt idx="16">
                  <c:v>1.3036463118315984E-2</c:v>
                </c:pt>
                <c:pt idx="17">
                  <c:v>1.2835134623106884E-2</c:v>
                </c:pt>
                <c:pt idx="18">
                  <c:v>1.2628634035252068E-2</c:v>
                </c:pt>
                <c:pt idx="19">
                  <c:v>1.2599900187220323E-2</c:v>
                </c:pt>
                <c:pt idx="20">
                  <c:v>1.2406042492499474E-2</c:v>
                </c:pt>
                <c:pt idx="21">
                  <c:v>1.2342061790882122E-2</c:v>
                </c:pt>
                <c:pt idx="22">
                  <c:v>1.2340912436960852E-2</c:v>
                </c:pt>
                <c:pt idx="23">
                  <c:v>1.2328844220787519E-2</c:v>
                </c:pt>
                <c:pt idx="24">
                  <c:v>1.00295617012872E-2</c:v>
                </c:pt>
                <c:pt idx="25">
                  <c:v>1.002841234736593E-2</c:v>
                </c:pt>
                <c:pt idx="26">
                  <c:v>1.0027262993444658E-2</c:v>
                </c:pt>
                <c:pt idx="27">
                  <c:v>1.0027262993444658E-2</c:v>
                </c:pt>
                <c:pt idx="28">
                  <c:v>9.8063954815739707E-3</c:v>
                </c:pt>
                <c:pt idx="29">
                  <c:v>9.8063954815739707E-3</c:v>
                </c:pt>
                <c:pt idx="30">
                  <c:v>9.8058208046133358E-3</c:v>
                </c:pt>
                <c:pt idx="31">
                  <c:v>9.8058208046133358E-3</c:v>
                </c:pt>
                <c:pt idx="32">
                  <c:v>9.8035220967707965E-3</c:v>
                </c:pt>
                <c:pt idx="33">
                  <c:v>9.8035220967707965E-3</c:v>
                </c:pt>
                <c:pt idx="34">
                  <c:v>8.9997405878294197E-3</c:v>
                </c:pt>
                <c:pt idx="35">
                  <c:v>8.7991783285678339E-3</c:v>
                </c:pt>
                <c:pt idx="36">
                  <c:v>8.7991783285678339E-3</c:v>
                </c:pt>
                <c:pt idx="37">
                  <c:v>8.7940062359221187E-3</c:v>
                </c:pt>
                <c:pt idx="38">
                  <c:v>8.7940062359221187E-3</c:v>
                </c:pt>
                <c:pt idx="39">
                  <c:v>8.7934315589614839E-3</c:v>
                </c:pt>
                <c:pt idx="40">
                  <c:v>8.7934315589614839E-3</c:v>
                </c:pt>
                <c:pt idx="41">
                  <c:v>8.7859607584732293E-3</c:v>
                </c:pt>
                <c:pt idx="42">
                  <c:v>8.7859607584732293E-3</c:v>
                </c:pt>
                <c:pt idx="43">
                  <c:v>8.7853860815125945E-3</c:v>
                </c:pt>
                <c:pt idx="44">
                  <c:v>8.7853860815125945E-3</c:v>
                </c:pt>
                <c:pt idx="45">
                  <c:v>8.6139407882565109E-3</c:v>
                </c:pt>
                <c:pt idx="46">
                  <c:v>8.6104927264927002E-3</c:v>
                </c:pt>
                <c:pt idx="47">
                  <c:v>8.6093433725714305E-3</c:v>
                </c:pt>
                <c:pt idx="48">
                  <c:v>8.6081940186501608E-3</c:v>
                </c:pt>
                <c:pt idx="49">
                  <c:v>8.6070446647288912E-3</c:v>
                </c:pt>
                <c:pt idx="50">
                  <c:v>8.5989991872800018E-3</c:v>
                </c:pt>
                <c:pt idx="51">
                  <c:v>8.5978498333587321E-3</c:v>
                </c:pt>
                <c:pt idx="52">
                  <c:v>7.3121059134315363E-3</c:v>
                </c:pt>
                <c:pt idx="53">
                  <c:v>6.8581111145299481E-3</c:v>
                </c:pt>
                <c:pt idx="54">
                  <c:v>4.3663118132169308E-3</c:v>
                </c:pt>
                <c:pt idx="55">
                  <c:v>4.3588410127286762E-3</c:v>
                </c:pt>
                <c:pt idx="56">
                  <c:v>3.9529275195335431E-3</c:v>
                </c:pt>
                <c:pt idx="57">
                  <c:v>3.7659659483403156E-3</c:v>
                </c:pt>
                <c:pt idx="58">
                  <c:v>3.7422126339674081E-3</c:v>
                </c:pt>
                <c:pt idx="59">
                  <c:v>3.7257385610958739E-3</c:v>
                </c:pt>
                <c:pt idx="60">
                  <c:v>3.5793874951208469E-3</c:v>
                </c:pt>
                <c:pt idx="61">
                  <c:v>3.0966588481875119E-3</c:v>
                </c:pt>
                <c:pt idx="62">
                  <c:v>2.9139115747056077E-3</c:v>
                </c:pt>
                <c:pt idx="63">
                  <c:v>2.88651863958201E-3</c:v>
                </c:pt>
                <c:pt idx="64">
                  <c:v>2.87866472112E-3</c:v>
                </c:pt>
                <c:pt idx="65">
                  <c:v>2.7097096946933318E-3</c:v>
                </c:pt>
                <c:pt idx="66">
                  <c:v>2.4940142754683592E-3</c:v>
                </c:pt>
                <c:pt idx="67">
                  <c:v>2.4593420988433846E-3</c:v>
                </c:pt>
                <c:pt idx="68">
                  <c:v>2.2990072268262406E-3</c:v>
                </c:pt>
                <c:pt idx="69">
                  <c:v>2.2951760470886762E-3</c:v>
                </c:pt>
                <c:pt idx="70">
                  <c:v>2.2781272972565055E-3</c:v>
                </c:pt>
                <c:pt idx="71">
                  <c:v>2.260886988437457E-3</c:v>
                </c:pt>
                <c:pt idx="72">
                  <c:v>2.2493934492247604E-3</c:v>
                </c:pt>
                <c:pt idx="73">
                  <c:v>2.0538117236220087E-3</c:v>
                </c:pt>
                <c:pt idx="74">
                  <c:v>2.0538117236220087E-3</c:v>
                </c:pt>
                <c:pt idx="75">
                  <c:v>2.0538117236220087E-3</c:v>
                </c:pt>
                <c:pt idx="76">
                  <c:v>2.0463409231337541E-3</c:v>
                </c:pt>
                <c:pt idx="77">
                  <c:v>2.0463409231337541E-3</c:v>
                </c:pt>
                <c:pt idx="78">
                  <c:v>2.0463409231337541E-3</c:v>
                </c:pt>
                <c:pt idx="79">
                  <c:v>1.6036481044579866E-3</c:v>
                </c:pt>
                <c:pt idx="80">
                  <c:v>7.8071069682877914E-4</c:v>
                </c:pt>
                <c:pt idx="81">
                  <c:v>7.8071069682877914E-4</c:v>
                </c:pt>
                <c:pt idx="82">
                  <c:v>7.8071069682877914E-4</c:v>
                </c:pt>
                <c:pt idx="83">
                  <c:v>5.7363543201333078E-4</c:v>
                </c:pt>
                <c:pt idx="84">
                  <c:v>5.7363543201333078E-4</c:v>
                </c:pt>
                <c:pt idx="85">
                  <c:v>5.7363543201333078E-4</c:v>
                </c:pt>
                <c:pt idx="86">
                  <c:v>5.7133672417079145E-4</c:v>
                </c:pt>
                <c:pt idx="87">
                  <c:v>5.7133672417079145E-4</c:v>
                </c:pt>
                <c:pt idx="88">
                  <c:v>5.7133672417079145E-4</c:v>
                </c:pt>
                <c:pt idx="89">
                  <c:v>5.6041786191872792E-4</c:v>
                </c:pt>
                <c:pt idx="90">
                  <c:v>5.6041786191872792E-4</c:v>
                </c:pt>
                <c:pt idx="91">
                  <c:v>5.6041786191872792E-4</c:v>
                </c:pt>
                <c:pt idx="92">
                  <c:v>5.6041786191872792E-4</c:v>
                </c:pt>
                <c:pt idx="93">
                  <c:v>1.83621334729097E-4</c:v>
                </c:pt>
                <c:pt idx="94">
                  <c:v>1.7500118031957279E-4</c:v>
                </c:pt>
                <c:pt idx="95">
                  <c:v>1.7500118031957279E-4</c:v>
                </c:pt>
                <c:pt idx="96">
                  <c:v>1.6925441071322447E-4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7-475B-B990-C8AC6286DDB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7-475B-B990-C8AC6286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3688"/>
        <c:axId val="1"/>
      </c:scatterChart>
      <c:valAx>
        <c:axId val="260073688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000129214617399"/>
          <c:w val="0.736842105263157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Eri - O-C Diagr.</a:t>
            </a:r>
          </a:p>
        </c:rich>
      </c:tx>
      <c:layout>
        <c:manualLayout>
          <c:xMode val="edge"/>
          <c:yMode val="edge"/>
          <c:x val="0.393394023945205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723926380368099"/>
          <c:w val="0.8108119997126027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3-4635-8564-893C9D255B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1.0999999998603016E-2</c:v>
                </c:pt>
                <c:pt idx="2">
                  <c:v>-3.6103000020375475E-3</c:v>
                </c:pt>
                <c:pt idx="3">
                  <c:v>5.85769999815966E-3</c:v>
                </c:pt>
                <c:pt idx="4">
                  <c:v>-4.1305000013380777E-3</c:v>
                </c:pt>
                <c:pt idx="5">
                  <c:v>-8.8799999866751023E-4</c:v>
                </c:pt>
                <c:pt idx="6">
                  <c:v>-5.415699997683987E-3</c:v>
                </c:pt>
                <c:pt idx="7">
                  <c:v>1.2431299997842871E-2</c:v>
                </c:pt>
                <c:pt idx="8">
                  <c:v>5.0534999900264665E-4</c:v>
                </c:pt>
                <c:pt idx="9">
                  <c:v>-4.3369999912101775E-4</c:v>
                </c:pt>
                <c:pt idx="10">
                  <c:v>1.588799997989554E-3</c:v>
                </c:pt>
                <c:pt idx="11">
                  <c:v>2.7362200002244208E-2</c:v>
                </c:pt>
                <c:pt idx="12">
                  <c:v>4.1297999996459112E-3</c:v>
                </c:pt>
                <c:pt idx="13">
                  <c:v>1.4414099998248275E-2</c:v>
                </c:pt>
                <c:pt idx="14">
                  <c:v>3.6915000004228204E-2</c:v>
                </c:pt>
                <c:pt idx="15">
                  <c:v>-1.0818300004757475E-2</c:v>
                </c:pt>
                <c:pt idx="16">
                  <c:v>-2.6131499980692752E-3</c:v>
                </c:pt>
                <c:pt idx="17">
                  <c:v>4.9992999993264675E-3</c:v>
                </c:pt>
                <c:pt idx="18">
                  <c:v>4.3154000013601035E-3</c:v>
                </c:pt>
                <c:pt idx="19">
                  <c:v>5.5790000624256209E-4</c:v>
                </c:pt>
                <c:pt idx="20">
                  <c:v>-5.5127000014181249E-3</c:v>
                </c:pt>
                <c:pt idx="21">
                  <c:v>2.108060000318801E-2</c:v>
                </c:pt>
                <c:pt idx="22">
                  <c:v>-2.4296999981743284E-3</c:v>
                </c:pt>
                <c:pt idx="23">
                  <c:v>2.521215000160737E-2</c:v>
                </c:pt>
                <c:pt idx="24">
                  <c:v>1.1357000003044959E-2</c:v>
                </c:pt>
                <c:pt idx="25">
                  <c:v>5.8466999980737455E-3</c:v>
                </c:pt>
                <c:pt idx="26">
                  <c:v>2.3364000007859431E-3</c:v>
                </c:pt>
                <c:pt idx="27">
                  <c:v>8.336400002008304E-3</c:v>
                </c:pt>
                <c:pt idx="28">
                  <c:v>2.273750003951136E-3</c:v>
                </c:pt>
                <c:pt idx="31">
                  <c:v>-1.9814000042970292E-3</c:v>
                </c:pt>
                <c:pt idx="32">
                  <c:v>3.9980000001378357E-3</c:v>
                </c:pt>
                <c:pt idx="45">
                  <c:v>6.0837500001071021E-2</c:v>
                </c:pt>
                <c:pt idx="46">
                  <c:v>1.4306600001873448E-2</c:v>
                </c:pt>
                <c:pt idx="47">
                  <c:v>-8.2037000029231422E-3</c:v>
                </c:pt>
                <c:pt idx="48">
                  <c:v>8.2860000038635917E-3</c:v>
                </c:pt>
                <c:pt idx="49">
                  <c:v>1.3775700004771352E-2</c:v>
                </c:pt>
                <c:pt idx="50">
                  <c:v>1.1203599999134894E-2</c:v>
                </c:pt>
                <c:pt idx="51">
                  <c:v>6.6932999980053864E-3</c:v>
                </c:pt>
                <c:pt idx="52">
                  <c:v>8.8377000065520406E-3</c:v>
                </c:pt>
                <c:pt idx="53">
                  <c:v>7.2692000030656345E-3</c:v>
                </c:pt>
                <c:pt idx="69">
                  <c:v>4.3781999993370846E-3</c:v>
                </c:pt>
                <c:pt idx="79">
                  <c:v>3.4769999911077321E-4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3-4635-8564-893C9D255B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plus>
            <c:minus>
              <c:numRef>
                <c:f>Active!$D$21:$D$943</c:f>
                <c:numCache>
                  <c:formatCode>General</c:formatCode>
                  <c:ptCount val="9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4.0000000000000001E-3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9">
                  <c:v>1.1573750001844019E-2</c:v>
                </c:pt>
                <c:pt idx="30">
                  <c:v>-5.4814000031910837E-3</c:v>
                </c:pt>
                <c:pt idx="33">
                  <c:v>1.1797999999544118E-2</c:v>
                </c:pt>
                <c:pt idx="34">
                  <c:v>1.2820000119972974E-4</c:v>
                </c:pt>
                <c:pt idx="35">
                  <c:v>2.4280850004288368E-2</c:v>
                </c:pt>
                <c:pt idx="36">
                  <c:v>3.0780850000155624E-2</c:v>
                </c:pt>
                <c:pt idx="37">
                  <c:v>2.8450000536395237E-4</c:v>
                </c:pt>
                <c:pt idx="38">
                  <c:v>5.6844999999157153E-3</c:v>
                </c:pt>
                <c:pt idx="39">
                  <c:v>-2.6870650006458163E-2</c:v>
                </c:pt>
                <c:pt idx="40">
                  <c:v>-1.8870650004828349E-2</c:v>
                </c:pt>
                <c:pt idx="41">
                  <c:v>2.0124000002397224E-3</c:v>
                </c:pt>
                <c:pt idx="42">
                  <c:v>3.4123999939765781E-3</c:v>
                </c:pt>
                <c:pt idx="43">
                  <c:v>2.6572500064503402E-3</c:v>
                </c:pt>
                <c:pt idx="44">
                  <c:v>6.8572500022128224E-3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3-4635-8564-893C9D255B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4">
                  <c:v>3.4387999985483475E-3</c:v>
                </c:pt>
                <c:pt idx="55">
                  <c:v>4.4218500042916276E-3</c:v>
                </c:pt>
                <c:pt idx="56">
                  <c:v>4.5008999950368889E-3</c:v>
                </c:pt>
                <c:pt idx="57">
                  <c:v>-7.90000194683671E-6</c:v>
                </c:pt>
                <c:pt idx="58">
                  <c:v>2.6459000000613742E-3</c:v>
                </c:pt>
                <c:pt idx="59">
                  <c:v>3.8315999991027638E-3</c:v>
                </c:pt>
                <c:pt idx="60">
                  <c:v>3.2534000056330115E-3</c:v>
                </c:pt>
                <c:pt idx="61">
                  <c:v>4.1274000031989999E-3</c:v>
                </c:pt>
                <c:pt idx="62">
                  <c:v>4.8897000015131198E-3</c:v>
                </c:pt>
                <c:pt idx="63">
                  <c:v>4.1075499975704588E-3</c:v>
                </c:pt>
                <c:pt idx="64">
                  <c:v>3.240500001993496E-3</c:v>
                </c:pt>
                <c:pt idx="65">
                  <c:v>3.2263999964925461E-3</c:v>
                </c:pt>
                <c:pt idx="66">
                  <c:v>3.0601000034948811E-3</c:v>
                </c:pt>
                <c:pt idx="67">
                  <c:v>2.7660499981720932E-3</c:v>
                </c:pt>
                <c:pt idx="68">
                  <c:v>1.2791999979526736E-3</c:v>
                </c:pt>
                <c:pt idx="70">
                  <c:v>2.8087500031688251E-3</c:v>
                </c:pt>
                <c:pt idx="71">
                  <c:v>6.6542499989736825E-3</c:v>
                </c:pt>
                <c:pt idx="72">
                  <c:v>3.1512499990640208E-3</c:v>
                </c:pt>
                <c:pt idx="73">
                  <c:v>1.7152000000351109E-3</c:v>
                </c:pt>
                <c:pt idx="74">
                  <c:v>3.1152000010479242E-3</c:v>
                </c:pt>
                <c:pt idx="75">
                  <c:v>3.2151999985217117E-3</c:v>
                </c:pt>
                <c:pt idx="76">
                  <c:v>-8.0175000039162114E-4</c:v>
                </c:pt>
                <c:pt idx="77">
                  <c:v>1.9824999617412686E-4</c:v>
                </c:pt>
                <c:pt idx="78">
                  <c:v>4.9824999587144703E-4</c:v>
                </c:pt>
                <c:pt idx="80">
                  <c:v>-1.2710010923910886E-4</c:v>
                </c:pt>
                <c:pt idx="81">
                  <c:v>5.7290009863208979E-4</c:v>
                </c:pt>
                <c:pt idx="82">
                  <c:v>2.9729002126259729E-3</c:v>
                </c:pt>
                <c:pt idx="83">
                  <c:v>-1.866149999841582E-3</c:v>
                </c:pt>
                <c:pt idx="84">
                  <c:v>-1.5661500001442619E-3</c:v>
                </c:pt>
                <c:pt idx="85">
                  <c:v>2.4338500006706454E-3</c:v>
                </c:pt>
                <c:pt idx="86">
                  <c:v>2.132500012521632E-4</c:v>
                </c:pt>
                <c:pt idx="87">
                  <c:v>5.1325000094948336E-4</c:v>
                </c:pt>
                <c:pt idx="88">
                  <c:v>3.7132500001462176E-3</c:v>
                </c:pt>
                <c:pt idx="89">
                  <c:v>-8.3460000314516947E-4</c:v>
                </c:pt>
                <c:pt idx="90">
                  <c:v>-8.3460000314516947E-4</c:v>
                </c:pt>
                <c:pt idx="91">
                  <c:v>1.6540000069653615E-4</c:v>
                </c:pt>
                <c:pt idx="92">
                  <c:v>1.6540000069653615E-4</c:v>
                </c:pt>
                <c:pt idx="93">
                  <c:v>-2.27949938562233E-4</c:v>
                </c:pt>
                <c:pt idx="94">
                  <c:v>-1.0551999730523676E-3</c:v>
                </c:pt>
                <c:pt idx="95">
                  <c:v>4.4479980715550482E-4</c:v>
                </c:pt>
                <c:pt idx="96">
                  <c:v>2.1932999152340926E-3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3-4635-8564-893C9D255B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3-4635-8564-893C9D255B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3-4635-8564-893C9D255B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2.9999999999999997E-4</c:v>
                  </c:pt>
                  <c:pt idx="57">
                    <c:v>6.9999999999999999E-4</c:v>
                  </c:pt>
                  <c:pt idx="58">
                    <c:v>0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4.0000000000000002E-4</c:v>
                  </c:pt>
                  <c:pt idx="63">
                    <c:v>1E-4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7.0000000000000001E-3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63-4635-8564-893C9D255B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1.9772251773917893E-2</c:v>
                </c:pt>
                <c:pt idx="1">
                  <c:v>1.9772251773917893E-2</c:v>
                </c:pt>
                <c:pt idx="2">
                  <c:v>1.9387984446240007E-2</c:v>
                </c:pt>
                <c:pt idx="3">
                  <c:v>1.8882268720881279E-2</c:v>
                </c:pt>
                <c:pt idx="4">
                  <c:v>1.8697605857530591E-2</c:v>
                </c:pt>
                <c:pt idx="5">
                  <c:v>1.8668872009498846E-2</c:v>
                </c:pt>
                <c:pt idx="6">
                  <c:v>1.6991964638366146E-2</c:v>
                </c:pt>
                <c:pt idx="7">
                  <c:v>1.678891211227514E-2</c:v>
                </c:pt>
                <c:pt idx="8">
                  <c:v>1.5597606772878948E-2</c:v>
                </c:pt>
                <c:pt idx="9">
                  <c:v>1.5390531508063498E-2</c:v>
                </c:pt>
                <c:pt idx="10">
                  <c:v>1.4518938117767201E-2</c:v>
                </c:pt>
                <c:pt idx="11">
                  <c:v>1.4493652331499265E-2</c:v>
                </c:pt>
                <c:pt idx="12">
                  <c:v>1.3909780539494185E-2</c:v>
                </c:pt>
                <c:pt idx="13">
                  <c:v>1.3811319220238736E-2</c:v>
                </c:pt>
                <c:pt idx="14">
                  <c:v>1.3699831889875561E-2</c:v>
                </c:pt>
                <c:pt idx="15">
                  <c:v>1.3227447428233657E-2</c:v>
                </c:pt>
                <c:pt idx="16">
                  <c:v>1.3036463118315984E-2</c:v>
                </c:pt>
                <c:pt idx="17">
                  <c:v>1.2835134623106884E-2</c:v>
                </c:pt>
                <c:pt idx="18">
                  <c:v>1.2628634035252068E-2</c:v>
                </c:pt>
                <c:pt idx="19">
                  <c:v>1.2599900187220323E-2</c:v>
                </c:pt>
                <c:pt idx="20">
                  <c:v>1.2406042492499474E-2</c:v>
                </c:pt>
                <c:pt idx="21">
                  <c:v>1.2342061790882122E-2</c:v>
                </c:pt>
                <c:pt idx="22">
                  <c:v>1.2340912436960852E-2</c:v>
                </c:pt>
                <c:pt idx="23">
                  <c:v>1.2328844220787519E-2</c:v>
                </c:pt>
                <c:pt idx="24">
                  <c:v>1.00295617012872E-2</c:v>
                </c:pt>
                <c:pt idx="25">
                  <c:v>1.002841234736593E-2</c:v>
                </c:pt>
                <c:pt idx="26">
                  <c:v>1.0027262993444658E-2</c:v>
                </c:pt>
                <c:pt idx="27">
                  <c:v>1.0027262993444658E-2</c:v>
                </c:pt>
                <c:pt idx="28">
                  <c:v>9.8063954815739707E-3</c:v>
                </c:pt>
                <c:pt idx="29">
                  <c:v>9.8063954815739707E-3</c:v>
                </c:pt>
                <c:pt idx="30">
                  <c:v>9.8058208046133358E-3</c:v>
                </c:pt>
                <c:pt idx="31">
                  <c:v>9.8058208046133358E-3</c:v>
                </c:pt>
                <c:pt idx="32">
                  <c:v>9.8035220967707965E-3</c:v>
                </c:pt>
                <c:pt idx="33">
                  <c:v>9.8035220967707965E-3</c:v>
                </c:pt>
                <c:pt idx="34">
                  <c:v>8.9997405878294197E-3</c:v>
                </c:pt>
                <c:pt idx="35">
                  <c:v>8.7991783285678339E-3</c:v>
                </c:pt>
                <c:pt idx="36">
                  <c:v>8.7991783285678339E-3</c:v>
                </c:pt>
                <c:pt idx="37">
                  <c:v>8.7940062359221187E-3</c:v>
                </c:pt>
                <c:pt idx="38">
                  <c:v>8.7940062359221187E-3</c:v>
                </c:pt>
                <c:pt idx="39">
                  <c:v>8.7934315589614839E-3</c:v>
                </c:pt>
                <c:pt idx="40">
                  <c:v>8.7934315589614839E-3</c:v>
                </c:pt>
                <c:pt idx="41">
                  <c:v>8.7859607584732293E-3</c:v>
                </c:pt>
                <c:pt idx="42">
                  <c:v>8.7859607584732293E-3</c:v>
                </c:pt>
                <c:pt idx="43">
                  <c:v>8.7853860815125945E-3</c:v>
                </c:pt>
                <c:pt idx="44">
                  <c:v>8.7853860815125945E-3</c:v>
                </c:pt>
                <c:pt idx="45">
                  <c:v>8.6139407882565109E-3</c:v>
                </c:pt>
                <c:pt idx="46">
                  <c:v>8.6104927264927002E-3</c:v>
                </c:pt>
                <c:pt idx="47">
                  <c:v>8.6093433725714305E-3</c:v>
                </c:pt>
                <c:pt idx="48">
                  <c:v>8.6081940186501608E-3</c:v>
                </c:pt>
                <c:pt idx="49">
                  <c:v>8.6070446647288912E-3</c:v>
                </c:pt>
                <c:pt idx="50">
                  <c:v>8.5989991872800018E-3</c:v>
                </c:pt>
                <c:pt idx="51">
                  <c:v>8.5978498333587321E-3</c:v>
                </c:pt>
                <c:pt idx="52">
                  <c:v>7.3121059134315363E-3</c:v>
                </c:pt>
                <c:pt idx="53">
                  <c:v>6.8581111145299481E-3</c:v>
                </c:pt>
                <c:pt idx="54">
                  <c:v>4.3663118132169308E-3</c:v>
                </c:pt>
                <c:pt idx="55">
                  <c:v>4.3588410127286762E-3</c:v>
                </c:pt>
                <c:pt idx="56">
                  <c:v>3.9529275195335431E-3</c:v>
                </c:pt>
                <c:pt idx="57">
                  <c:v>3.7659659483403156E-3</c:v>
                </c:pt>
                <c:pt idx="58">
                  <c:v>3.7422126339674081E-3</c:v>
                </c:pt>
                <c:pt idx="59">
                  <c:v>3.7257385610958739E-3</c:v>
                </c:pt>
                <c:pt idx="60">
                  <c:v>3.5793874951208469E-3</c:v>
                </c:pt>
                <c:pt idx="61">
                  <c:v>3.0966588481875119E-3</c:v>
                </c:pt>
                <c:pt idx="62">
                  <c:v>2.9139115747056077E-3</c:v>
                </c:pt>
                <c:pt idx="63">
                  <c:v>2.88651863958201E-3</c:v>
                </c:pt>
                <c:pt idx="64">
                  <c:v>2.87866472112E-3</c:v>
                </c:pt>
                <c:pt idx="65">
                  <c:v>2.7097096946933318E-3</c:v>
                </c:pt>
                <c:pt idx="66">
                  <c:v>2.4940142754683592E-3</c:v>
                </c:pt>
                <c:pt idx="67">
                  <c:v>2.4593420988433846E-3</c:v>
                </c:pt>
                <c:pt idx="68">
                  <c:v>2.2990072268262406E-3</c:v>
                </c:pt>
                <c:pt idx="69">
                  <c:v>2.2951760470886762E-3</c:v>
                </c:pt>
                <c:pt idx="70">
                  <c:v>2.2781272972565055E-3</c:v>
                </c:pt>
                <c:pt idx="71">
                  <c:v>2.260886988437457E-3</c:v>
                </c:pt>
                <c:pt idx="72">
                  <c:v>2.2493934492247604E-3</c:v>
                </c:pt>
                <c:pt idx="73">
                  <c:v>2.0538117236220087E-3</c:v>
                </c:pt>
                <c:pt idx="74">
                  <c:v>2.0538117236220087E-3</c:v>
                </c:pt>
                <c:pt idx="75">
                  <c:v>2.0538117236220087E-3</c:v>
                </c:pt>
                <c:pt idx="76">
                  <c:v>2.0463409231337541E-3</c:v>
                </c:pt>
                <c:pt idx="77">
                  <c:v>2.0463409231337541E-3</c:v>
                </c:pt>
                <c:pt idx="78">
                  <c:v>2.0463409231337541E-3</c:v>
                </c:pt>
                <c:pt idx="79">
                  <c:v>1.6036481044579866E-3</c:v>
                </c:pt>
                <c:pt idx="80">
                  <c:v>7.8071069682877914E-4</c:v>
                </c:pt>
                <c:pt idx="81">
                  <c:v>7.8071069682877914E-4</c:v>
                </c:pt>
                <c:pt idx="82">
                  <c:v>7.8071069682877914E-4</c:v>
                </c:pt>
                <c:pt idx="83">
                  <c:v>5.7363543201333078E-4</c:v>
                </c:pt>
                <c:pt idx="84">
                  <c:v>5.7363543201333078E-4</c:v>
                </c:pt>
                <c:pt idx="85">
                  <c:v>5.7363543201333078E-4</c:v>
                </c:pt>
                <c:pt idx="86">
                  <c:v>5.7133672417079145E-4</c:v>
                </c:pt>
                <c:pt idx="87">
                  <c:v>5.7133672417079145E-4</c:v>
                </c:pt>
                <c:pt idx="88">
                  <c:v>5.7133672417079145E-4</c:v>
                </c:pt>
                <c:pt idx="89">
                  <c:v>5.6041786191872792E-4</c:v>
                </c:pt>
                <c:pt idx="90">
                  <c:v>5.6041786191872792E-4</c:v>
                </c:pt>
                <c:pt idx="91">
                  <c:v>5.6041786191872792E-4</c:v>
                </c:pt>
                <c:pt idx="92">
                  <c:v>5.6041786191872792E-4</c:v>
                </c:pt>
                <c:pt idx="93">
                  <c:v>1.83621334729097E-4</c:v>
                </c:pt>
                <c:pt idx="94">
                  <c:v>1.7500118031957279E-4</c:v>
                </c:pt>
                <c:pt idx="95">
                  <c:v>1.7500118031957279E-4</c:v>
                </c:pt>
                <c:pt idx="96">
                  <c:v>1.6925441071322447E-4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63-4635-8564-893C9D255B3C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1003</c:v>
                </c:pt>
                <c:pt idx="3">
                  <c:v>2323</c:v>
                </c:pt>
                <c:pt idx="4">
                  <c:v>2805</c:v>
                </c:pt>
                <c:pt idx="5">
                  <c:v>2880</c:v>
                </c:pt>
                <c:pt idx="6">
                  <c:v>7257</c:v>
                </c:pt>
                <c:pt idx="7">
                  <c:v>7787</c:v>
                </c:pt>
                <c:pt idx="8">
                  <c:v>10896.5</c:v>
                </c:pt>
                <c:pt idx="9">
                  <c:v>11437</c:v>
                </c:pt>
                <c:pt idx="10">
                  <c:v>13712</c:v>
                </c:pt>
                <c:pt idx="11">
                  <c:v>13778</c:v>
                </c:pt>
                <c:pt idx="12">
                  <c:v>15302</c:v>
                </c:pt>
                <c:pt idx="13">
                  <c:v>15559</c:v>
                </c:pt>
                <c:pt idx="14">
                  <c:v>15850</c:v>
                </c:pt>
                <c:pt idx="15">
                  <c:v>17083</c:v>
                </c:pt>
                <c:pt idx="16">
                  <c:v>17581.5</c:v>
                </c:pt>
                <c:pt idx="17">
                  <c:v>18107</c:v>
                </c:pt>
                <c:pt idx="18">
                  <c:v>18646</c:v>
                </c:pt>
                <c:pt idx="19">
                  <c:v>18721</c:v>
                </c:pt>
                <c:pt idx="20">
                  <c:v>19227</c:v>
                </c:pt>
                <c:pt idx="21">
                  <c:v>19394</c:v>
                </c:pt>
                <c:pt idx="22">
                  <c:v>19397</c:v>
                </c:pt>
                <c:pt idx="23">
                  <c:v>19428.5</c:v>
                </c:pt>
                <c:pt idx="24">
                  <c:v>25430</c:v>
                </c:pt>
                <c:pt idx="25">
                  <c:v>25433</c:v>
                </c:pt>
                <c:pt idx="26">
                  <c:v>25436</c:v>
                </c:pt>
                <c:pt idx="27">
                  <c:v>25436</c:v>
                </c:pt>
                <c:pt idx="28">
                  <c:v>26012.5</c:v>
                </c:pt>
                <c:pt idx="29">
                  <c:v>26012.5</c:v>
                </c:pt>
                <c:pt idx="30">
                  <c:v>26014</c:v>
                </c:pt>
                <c:pt idx="31">
                  <c:v>26014</c:v>
                </c:pt>
                <c:pt idx="32">
                  <c:v>26020</c:v>
                </c:pt>
                <c:pt idx="33">
                  <c:v>26020</c:v>
                </c:pt>
                <c:pt idx="34">
                  <c:v>28118</c:v>
                </c:pt>
                <c:pt idx="35">
                  <c:v>28641.5</c:v>
                </c:pt>
                <c:pt idx="36">
                  <c:v>28641.5</c:v>
                </c:pt>
                <c:pt idx="37">
                  <c:v>28655</c:v>
                </c:pt>
                <c:pt idx="38">
                  <c:v>28655</c:v>
                </c:pt>
                <c:pt idx="39">
                  <c:v>28656.5</c:v>
                </c:pt>
                <c:pt idx="40">
                  <c:v>28656.5</c:v>
                </c:pt>
                <c:pt idx="41">
                  <c:v>28676</c:v>
                </c:pt>
                <c:pt idx="42">
                  <c:v>28676</c:v>
                </c:pt>
                <c:pt idx="43">
                  <c:v>28677.5</c:v>
                </c:pt>
                <c:pt idx="44">
                  <c:v>28677.5</c:v>
                </c:pt>
                <c:pt idx="45">
                  <c:v>29125</c:v>
                </c:pt>
                <c:pt idx="46">
                  <c:v>29134</c:v>
                </c:pt>
                <c:pt idx="47">
                  <c:v>29137</c:v>
                </c:pt>
                <c:pt idx="48">
                  <c:v>29140</c:v>
                </c:pt>
                <c:pt idx="49">
                  <c:v>29143</c:v>
                </c:pt>
                <c:pt idx="50">
                  <c:v>29164</c:v>
                </c:pt>
                <c:pt idx="51">
                  <c:v>29167</c:v>
                </c:pt>
                <c:pt idx="52">
                  <c:v>32523</c:v>
                </c:pt>
                <c:pt idx="53">
                  <c:v>33708</c:v>
                </c:pt>
                <c:pt idx="54">
                  <c:v>40212</c:v>
                </c:pt>
                <c:pt idx="55">
                  <c:v>40231.5</c:v>
                </c:pt>
                <c:pt idx="56">
                  <c:v>41291</c:v>
                </c:pt>
                <c:pt idx="57">
                  <c:v>41779</c:v>
                </c:pt>
                <c:pt idx="58">
                  <c:v>41841</c:v>
                </c:pt>
                <c:pt idx="59">
                  <c:v>41884</c:v>
                </c:pt>
                <c:pt idx="60">
                  <c:v>42266</c:v>
                </c:pt>
                <c:pt idx="61">
                  <c:v>43526</c:v>
                </c:pt>
                <c:pt idx="62">
                  <c:v>44003</c:v>
                </c:pt>
                <c:pt idx="63">
                  <c:v>44074.5</c:v>
                </c:pt>
                <c:pt idx="64">
                  <c:v>44095</c:v>
                </c:pt>
                <c:pt idx="65">
                  <c:v>44536</c:v>
                </c:pt>
                <c:pt idx="66">
                  <c:v>45099</c:v>
                </c:pt>
                <c:pt idx="67">
                  <c:v>45189.5</c:v>
                </c:pt>
                <c:pt idx="68">
                  <c:v>45608</c:v>
                </c:pt>
                <c:pt idx="69">
                  <c:v>45618</c:v>
                </c:pt>
                <c:pt idx="70">
                  <c:v>45662.5</c:v>
                </c:pt>
                <c:pt idx="71">
                  <c:v>45707.5</c:v>
                </c:pt>
                <c:pt idx="72">
                  <c:v>45737.5</c:v>
                </c:pt>
                <c:pt idx="73">
                  <c:v>46248</c:v>
                </c:pt>
                <c:pt idx="74">
                  <c:v>46248</c:v>
                </c:pt>
                <c:pt idx="75">
                  <c:v>46248</c:v>
                </c:pt>
                <c:pt idx="76">
                  <c:v>46267.5</c:v>
                </c:pt>
                <c:pt idx="77">
                  <c:v>46267.5</c:v>
                </c:pt>
                <c:pt idx="78">
                  <c:v>46267.5</c:v>
                </c:pt>
                <c:pt idx="79">
                  <c:v>47423</c:v>
                </c:pt>
                <c:pt idx="80">
                  <c:v>49571</c:v>
                </c:pt>
                <c:pt idx="81">
                  <c:v>49571</c:v>
                </c:pt>
                <c:pt idx="82">
                  <c:v>49571</c:v>
                </c:pt>
                <c:pt idx="83">
                  <c:v>50111.5</c:v>
                </c:pt>
                <c:pt idx="84">
                  <c:v>50111.5</c:v>
                </c:pt>
                <c:pt idx="85">
                  <c:v>50111.5</c:v>
                </c:pt>
                <c:pt idx="86">
                  <c:v>50117.5</c:v>
                </c:pt>
                <c:pt idx="87">
                  <c:v>50117.5</c:v>
                </c:pt>
                <c:pt idx="88">
                  <c:v>50117.5</c:v>
                </c:pt>
                <c:pt idx="89">
                  <c:v>50146</c:v>
                </c:pt>
                <c:pt idx="90">
                  <c:v>50146</c:v>
                </c:pt>
                <c:pt idx="91">
                  <c:v>50146</c:v>
                </c:pt>
                <c:pt idx="92">
                  <c:v>50146</c:v>
                </c:pt>
                <c:pt idx="93">
                  <c:v>51129.5</c:v>
                </c:pt>
                <c:pt idx="94">
                  <c:v>51152</c:v>
                </c:pt>
                <c:pt idx="95">
                  <c:v>51152</c:v>
                </c:pt>
                <c:pt idx="96">
                  <c:v>51167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63-4635-8564-893C9D255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0576"/>
        <c:axId val="1"/>
      </c:scatterChart>
      <c:valAx>
        <c:axId val="260080576"/>
        <c:scaling>
          <c:orientation val="minMax"/>
          <c:max val="5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8650146209201"/>
          <c:y val="0.92024539877300615"/>
          <c:w val="0.735736839201406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DB853B7-A564-CF77-7ABD-C5135EDAA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504825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650D2304-AD22-B808-AC72-32927F530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1919" TargetMode="External"/><Relationship Id="rId21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5502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www.konkoly.hu/cgi-bin/IBVS?5960" TargetMode="External"/><Relationship Id="rId25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919" TargetMode="External"/><Relationship Id="rId16" Type="http://schemas.openxmlformats.org/officeDocument/2006/relationships/hyperlink" Target="http://www.konkoly.hu/cgi-bin/IBVS?5920" TargetMode="External"/><Relationship Id="rId20" Type="http://schemas.openxmlformats.org/officeDocument/2006/relationships/hyperlink" Target="http://var.astro.cz/oejv/issues/oejv0142.pdf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919" TargetMode="External"/><Relationship Id="rId6" Type="http://schemas.openxmlformats.org/officeDocument/2006/relationships/hyperlink" Target="http://vsolj.cetus-net.org/no40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77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2185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54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>
      <c r="A2" t="s">
        <v>25</v>
      </c>
      <c r="B2" t="s">
        <v>42</v>
      </c>
    </row>
    <row r="4" spans="1:6" ht="14.25" thickTop="1" thickBot="1">
      <c r="A4" s="6" t="s">
        <v>1</v>
      </c>
      <c r="C4" s="3">
        <v>25558.445</v>
      </c>
      <c r="D4" s="4">
        <v>0.66417009999999999</v>
      </c>
    </row>
    <row r="5" spans="1:6" ht="13.5" thickTop="1">
      <c r="A5" s="15" t="s">
        <v>46</v>
      </c>
      <c r="B5" s="16"/>
      <c r="C5" s="17">
        <v>-9.5</v>
      </c>
      <c r="D5" s="16" t="s">
        <v>47</v>
      </c>
    </row>
    <row r="6" spans="1:6">
      <c r="A6" s="6" t="s">
        <v>2</v>
      </c>
    </row>
    <row r="7" spans="1:6">
      <c r="A7" t="s">
        <v>3</v>
      </c>
      <c r="C7">
        <f>+C4</f>
        <v>25558.445</v>
      </c>
    </row>
    <row r="8" spans="1:6">
      <c r="A8" t="s">
        <v>4</v>
      </c>
      <c r="C8">
        <f>+D4</f>
        <v>0.66417009999999999</v>
      </c>
    </row>
    <row r="9" spans="1:6">
      <c r="A9" s="30" t="s">
        <v>51</v>
      </c>
      <c r="B9" s="31">
        <v>75</v>
      </c>
      <c r="C9" s="20" t="str">
        <f>"F"&amp;B9</f>
        <v>F75</v>
      </c>
      <c r="D9" s="9" t="str">
        <f>"G"&amp;B9</f>
        <v>G75</v>
      </c>
    </row>
    <row r="10" spans="1:6" ht="13.5" thickBot="1">
      <c r="A10" s="16"/>
      <c r="B10" s="16"/>
      <c r="C10" s="5" t="s">
        <v>21</v>
      </c>
      <c r="D10" s="5" t="s">
        <v>22</v>
      </c>
      <c r="E10" s="16"/>
    </row>
    <row r="11" spans="1:6">
      <c r="A11" s="16" t="s">
        <v>17</v>
      </c>
      <c r="B11" s="16"/>
      <c r="C11" s="18">
        <f ca="1">INTERCEPT(INDIRECT($D$9):G991,INDIRECT($C$9):F991)</f>
        <v>1.9772251773917893E-2</v>
      </c>
      <c r="D11" s="19"/>
      <c r="E11" s="16"/>
    </row>
    <row r="12" spans="1:6">
      <c r="A12" s="16" t="s">
        <v>18</v>
      </c>
      <c r="B12" s="16"/>
      <c r="C12" s="18">
        <f ca="1">SLOPE(INDIRECT($D$9):G991,INDIRECT($C$9):F991)</f>
        <v>-3.8311797375661399E-7</v>
      </c>
      <c r="D12" s="19"/>
      <c r="E12" s="16"/>
    </row>
    <row r="13" spans="1:6">
      <c r="A13" s="16" t="s">
        <v>20</v>
      </c>
      <c r="B13" s="16"/>
      <c r="C13" s="19" t="s">
        <v>15</v>
      </c>
    </row>
    <row r="14" spans="1:6">
      <c r="A14" s="16"/>
      <c r="B14" s="16"/>
      <c r="C14" s="16"/>
    </row>
    <row r="15" spans="1:6">
      <c r="A15" s="21" t="s">
        <v>19</v>
      </c>
      <c r="B15" s="16"/>
      <c r="C15" s="22">
        <f ca="1">(C7+C11)+(C8+C12)*INT(MAX(F21:F3532))</f>
        <v>59542.036675954412</v>
      </c>
      <c r="E15" s="23" t="s">
        <v>57</v>
      </c>
      <c r="F15" s="17">
        <v>1</v>
      </c>
    </row>
    <row r="16" spans="1:6">
      <c r="A16" s="25" t="s">
        <v>5</v>
      </c>
      <c r="B16" s="16"/>
      <c r="C16" s="26">
        <f ca="1">+C8+C12</f>
        <v>0.6641697168820262</v>
      </c>
      <c r="E16" s="23" t="s">
        <v>48</v>
      </c>
      <c r="F16" s="24">
        <f ca="1">NOW()+15018.5+$C$5/24</f>
        <v>59958.707767361106</v>
      </c>
    </row>
    <row r="17" spans="1:21" ht="13.5" thickBot="1">
      <c r="A17" s="23" t="s">
        <v>44</v>
      </c>
      <c r="B17" s="16"/>
      <c r="C17" s="16">
        <f>COUNT(C21:C2190)</f>
        <v>97</v>
      </c>
      <c r="E17" s="23" t="s">
        <v>58</v>
      </c>
      <c r="F17" s="24">
        <f ca="1">ROUND(2*(F16-$C$7)/$C$8,0)/2+F15</f>
        <v>51795.5</v>
      </c>
    </row>
    <row r="18" spans="1:21" ht="14.25" thickTop="1" thickBot="1">
      <c r="A18" s="25" t="s">
        <v>6</v>
      </c>
      <c r="B18" s="16"/>
      <c r="C18" s="28">
        <f ca="1">+C15</f>
        <v>59542.036675954412</v>
      </c>
      <c r="D18" s="29">
        <f ca="1">+C16</f>
        <v>0.6641697168820262</v>
      </c>
      <c r="E18" s="23" t="s">
        <v>49</v>
      </c>
      <c r="F18" s="9">
        <f ca="1">ROUND(2*(F16-$C$15)/$C$16,0)/2+F15</f>
        <v>628.5</v>
      </c>
    </row>
    <row r="19" spans="1:21" ht="13.5" thickTop="1">
      <c r="E19" s="23" t="s">
        <v>50</v>
      </c>
      <c r="F19" s="27">
        <f ca="1">+$C$15+$C$16*F18-15018.5-$C$5/24</f>
        <v>44941.363176348103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70</v>
      </c>
      <c r="I20" s="8" t="s">
        <v>73</v>
      </c>
      <c r="J20" s="8" t="s">
        <v>67</v>
      </c>
      <c r="K20" s="8" t="s">
        <v>65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64" t="s">
        <v>341</v>
      </c>
    </row>
    <row r="21" spans="1:21" ht="12.75" customHeight="1">
      <c r="A21" t="s">
        <v>13</v>
      </c>
      <c r="C21" s="10">
        <v>25558.445</v>
      </c>
      <c r="D21" s="10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65" si="2">+C21-(C$7+F21*C$8)</f>
        <v>0</v>
      </c>
      <c r="H21">
        <f>+G21</f>
        <v>0</v>
      </c>
      <c r="O21">
        <f t="shared" ref="O21:O52" ca="1" si="3">+C$11+C$12*$F21</f>
        <v>1.9772251773917893E-2</v>
      </c>
      <c r="Q21" s="2">
        <f t="shared" ref="Q21:Q52" si="4">+C21-15018.5</f>
        <v>10539.945</v>
      </c>
    </row>
    <row r="22" spans="1:21" ht="12.75" customHeight="1">
      <c r="A22" s="61" t="s">
        <v>80</v>
      </c>
      <c r="B22" s="63" t="s">
        <v>41</v>
      </c>
      <c r="C22" s="62">
        <v>25558.455999999998</v>
      </c>
      <c r="D22" s="62" t="s">
        <v>73</v>
      </c>
      <c r="E22">
        <f t="shared" si="0"/>
        <v>1.6562022287066245E-2</v>
      </c>
      <c r="F22">
        <f t="shared" si="1"/>
        <v>0</v>
      </c>
      <c r="G22">
        <f t="shared" si="2"/>
        <v>1.0999999998603016E-2</v>
      </c>
      <c r="I22">
        <f t="shared" ref="I22:I49" si="5">+G22</f>
        <v>1.0999999998603016E-2</v>
      </c>
      <c r="O22">
        <f t="shared" ca="1" si="3"/>
        <v>1.9772251773917893E-2</v>
      </c>
      <c r="Q22" s="2">
        <f t="shared" si="4"/>
        <v>10539.955999999998</v>
      </c>
    </row>
    <row r="23" spans="1:21" ht="12.75" customHeight="1">
      <c r="A23" s="61" t="s">
        <v>85</v>
      </c>
      <c r="B23" s="63" t="s">
        <v>41</v>
      </c>
      <c r="C23" s="62">
        <v>26224.603999999999</v>
      </c>
      <c r="D23" s="62" t="s">
        <v>73</v>
      </c>
      <c r="E23">
        <f t="shared" si="0"/>
        <v>1002.9945641937204</v>
      </c>
      <c r="F23">
        <f t="shared" si="1"/>
        <v>1003</v>
      </c>
      <c r="G23">
        <f t="shared" si="2"/>
        <v>-3.6103000020375475E-3</v>
      </c>
      <c r="I23">
        <f t="shared" si="5"/>
        <v>-3.6103000020375475E-3</v>
      </c>
      <c r="O23">
        <f t="shared" ca="1" si="3"/>
        <v>1.9387984446240007E-2</v>
      </c>
      <c r="Q23" s="2">
        <f t="shared" si="4"/>
        <v>11206.103999999999</v>
      </c>
    </row>
    <row r="24" spans="1:21" ht="12.75" customHeight="1">
      <c r="A24" s="61" t="s">
        <v>80</v>
      </c>
      <c r="B24" s="63" t="s">
        <v>41</v>
      </c>
      <c r="C24" s="62">
        <v>27101.317999999999</v>
      </c>
      <c r="D24" s="62" t="s">
        <v>73</v>
      </c>
      <c r="E24">
        <f t="shared" si="0"/>
        <v>2323.0088195779963</v>
      </c>
      <c r="F24">
        <f t="shared" si="1"/>
        <v>2323</v>
      </c>
      <c r="G24">
        <f t="shared" si="2"/>
        <v>5.85769999815966E-3</v>
      </c>
      <c r="I24">
        <f t="shared" si="5"/>
        <v>5.85769999815966E-3</v>
      </c>
      <c r="O24">
        <f t="shared" ca="1" si="3"/>
        <v>1.8882268720881279E-2</v>
      </c>
      <c r="Q24" s="2">
        <f t="shared" si="4"/>
        <v>12082.817999999999</v>
      </c>
    </row>
    <row r="25" spans="1:21" ht="12.75" customHeight="1">
      <c r="A25" s="61" t="s">
        <v>80</v>
      </c>
      <c r="B25" s="63" t="s">
        <v>41</v>
      </c>
      <c r="C25" s="62">
        <v>27421.437999999998</v>
      </c>
      <c r="D25" s="62" t="s">
        <v>73</v>
      </c>
      <c r="E25">
        <f t="shared" si="0"/>
        <v>2804.9937809606286</v>
      </c>
      <c r="F25">
        <f t="shared" si="1"/>
        <v>2805</v>
      </c>
      <c r="G25">
        <f t="shared" si="2"/>
        <v>-4.1305000013380777E-3</v>
      </c>
      <c r="I25">
        <f t="shared" si="5"/>
        <v>-4.1305000013380777E-3</v>
      </c>
      <c r="O25">
        <f t="shared" ca="1" si="3"/>
        <v>1.8697605857530591E-2</v>
      </c>
      <c r="Q25" s="2">
        <f t="shared" si="4"/>
        <v>12402.937999999998</v>
      </c>
    </row>
    <row r="26" spans="1:21" ht="12.75" customHeight="1">
      <c r="A26" s="61" t="s">
        <v>85</v>
      </c>
      <c r="B26" s="63" t="s">
        <v>41</v>
      </c>
      <c r="C26" s="62">
        <v>27471.254000000001</v>
      </c>
      <c r="D26" s="62" t="s">
        <v>73</v>
      </c>
      <c r="E26">
        <f t="shared" si="0"/>
        <v>2879.9986629931113</v>
      </c>
      <c r="F26">
        <f t="shared" si="1"/>
        <v>2880</v>
      </c>
      <c r="G26">
        <f t="shared" si="2"/>
        <v>-8.8799999866751023E-4</v>
      </c>
      <c r="I26">
        <f t="shared" si="5"/>
        <v>-8.8799999866751023E-4</v>
      </c>
      <c r="O26">
        <f t="shared" ca="1" si="3"/>
        <v>1.8668872009498846E-2</v>
      </c>
      <c r="Q26" s="2">
        <f t="shared" si="4"/>
        <v>12452.754000000001</v>
      </c>
    </row>
    <row r="27" spans="1:21" ht="12.75" customHeight="1">
      <c r="A27" s="61" t="s">
        <v>85</v>
      </c>
      <c r="B27" s="63" t="s">
        <v>41</v>
      </c>
      <c r="C27" s="62">
        <v>30378.322</v>
      </c>
      <c r="D27" s="62" t="s">
        <v>73</v>
      </c>
      <c r="E27">
        <f t="shared" si="0"/>
        <v>7256.9918459141727</v>
      </c>
      <c r="F27">
        <f t="shared" si="1"/>
        <v>7257</v>
      </c>
      <c r="G27">
        <f t="shared" si="2"/>
        <v>-5.415699997683987E-3</v>
      </c>
      <c r="I27">
        <f t="shared" si="5"/>
        <v>-5.415699997683987E-3</v>
      </c>
      <c r="O27">
        <f t="shared" ca="1" si="3"/>
        <v>1.6991964638366146E-2</v>
      </c>
      <c r="Q27" s="2">
        <f t="shared" si="4"/>
        <v>15359.822</v>
      </c>
    </row>
    <row r="28" spans="1:21" ht="12.75" customHeight="1">
      <c r="A28" s="61" t="s">
        <v>85</v>
      </c>
      <c r="B28" s="63" t="s">
        <v>41</v>
      </c>
      <c r="C28" s="62">
        <v>30730.35</v>
      </c>
      <c r="D28" s="62" t="s">
        <v>73</v>
      </c>
      <c r="E28">
        <f t="shared" si="0"/>
        <v>7787.0187170425152</v>
      </c>
      <c r="F28">
        <f t="shared" si="1"/>
        <v>7787</v>
      </c>
      <c r="G28">
        <f t="shared" si="2"/>
        <v>1.2431299997842871E-2</v>
      </c>
      <c r="I28">
        <f t="shared" si="5"/>
        <v>1.2431299997842871E-2</v>
      </c>
      <c r="O28">
        <f t="shared" ca="1" si="3"/>
        <v>1.678891211227514E-2</v>
      </c>
      <c r="Q28" s="2">
        <f t="shared" si="4"/>
        <v>15711.849999999999</v>
      </c>
    </row>
    <row r="29" spans="1:21" ht="12.75" customHeight="1">
      <c r="A29" s="61" t="s">
        <v>85</v>
      </c>
      <c r="B29" s="63" t="s">
        <v>55</v>
      </c>
      <c r="C29" s="62">
        <v>32795.574999999997</v>
      </c>
      <c r="D29" s="62" t="s">
        <v>73</v>
      </c>
      <c r="E29">
        <f t="shared" si="0"/>
        <v>10896.500760874356</v>
      </c>
      <c r="F29">
        <f t="shared" si="1"/>
        <v>10896.5</v>
      </c>
      <c r="G29">
        <f t="shared" si="2"/>
        <v>5.0534999900264665E-4</v>
      </c>
      <c r="I29">
        <f t="shared" si="5"/>
        <v>5.0534999900264665E-4</v>
      </c>
      <c r="O29">
        <f t="shared" ca="1" si="3"/>
        <v>1.5597606772878948E-2</v>
      </c>
      <c r="Q29" s="2">
        <f t="shared" si="4"/>
        <v>17777.074999999997</v>
      </c>
    </row>
    <row r="30" spans="1:21" ht="12.75" customHeight="1">
      <c r="A30" s="61" t="s">
        <v>85</v>
      </c>
      <c r="B30" s="63" t="s">
        <v>41</v>
      </c>
      <c r="C30" s="62">
        <v>33154.557999999997</v>
      </c>
      <c r="D30" s="62" t="s">
        <v>73</v>
      </c>
      <c r="E30">
        <f t="shared" si="0"/>
        <v>11436.999347004627</v>
      </c>
      <c r="F30">
        <f t="shared" si="1"/>
        <v>11437</v>
      </c>
      <c r="G30">
        <f t="shared" si="2"/>
        <v>-4.3369999912101775E-4</v>
      </c>
      <c r="I30">
        <f t="shared" si="5"/>
        <v>-4.3369999912101775E-4</v>
      </c>
      <c r="O30">
        <f t="shared" ca="1" si="3"/>
        <v>1.5390531508063498E-2</v>
      </c>
      <c r="Q30" s="2">
        <f t="shared" si="4"/>
        <v>18136.057999999997</v>
      </c>
    </row>
    <row r="31" spans="1:21" ht="12.75" customHeight="1">
      <c r="A31" s="61" t="s">
        <v>85</v>
      </c>
      <c r="B31" s="63" t="s">
        <v>41</v>
      </c>
      <c r="C31" s="62">
        <v>34665.546999999999</v>
      </c>
      <c r="D31" s="62" t="s">
        <v>73</v>
      </c>
      <c r="E31">
        <f t="shared" si="0"/>
        <v>13712.002392158272</v>
      </c>
      <c r="F31">
        <f t="shared" si="1"/>
        <v>13712</v>
      </c>
      <c r="G31">
        <f t="shared" si="2"/>
        <v>1.588799997989554E-3</v>
      </c>
      <c r="I31">
        <f t="shared" si="5"/>
        <v>1.588799997989554E-3</v>
      </c>
      <c r="O31">
        <f t="shared" ca="1" si="3"/>
        <v>1.4518938117767201E-2</v>
      </c>
      <c r="Q31" s="2">
        <f t="shared" si="4"/>
        <v>19647.046999999999</v>
      </c>
    </row>
    <row r="32" spans="1:21" ht="12.75" customHeight="1">
      <c r="A32" s="61" t="s">
        <v>85</v>
      </c>
      <c r="B32" s="63" t="s">
        <v>41</v>
      </c>
      <c r="C32" s="62">
        <v>34709.408000000003</v>
      </c>
      <c r="D32" s="62" t="s">
        <v>73</v>
      </c>
      <c r="E32">
        <f t="shared" si="0"/>
        <v>13778.041197578757</v>
      </c>
      <c r="F32">
        <f t="shared" si="1"/>
        <v>13778</v>
      </c>
      <c r="G32">
        <f t="shared" si="2"/>
        <v>2.7362200002244208E-2</v>
      </c>
      <c r="I32">
        <f t="shared" si="5"/>
        <v>2.7362200002244208E-2</v>
      </c>
      <c r="O32">
        <f t="shared" ca="1" si="3"/>
        <v>1.4493652331499265E-2</v>
      </c>
      <c r="Q32" s="2">
        <f t="shared" si="4"/>
        <v>19690.908000000003</v>
      </c>
    </row>
    <row r="33" spans="1:30" ht="12.75" customHeight="1">
      <c r="A33" s="61" t="s">
        <v>85</v>
      </c>
      <c r="B33" s="63" t="s">
        <v>41</v>
      </c>
      <c r="C33" s="62">
        <v>35721.58</v>
      </c>
      <c r="D33" s="62" t="s">
        <v>73</v>
      </c>
      <c r="E33">
        <f t="shared" si="0"/>
        <v>15302.006217985427</v>
      </c>
      <c r="F33">
        <f t="shared" si="1"/>
        <v>15302</v>
      </c>
      <c r="G33">
        <f t="shared" si="2"/>
        <v>4.1297999996459112E-3</v>
      </c>
      <c r="I33">
        <f t="shared" si="5"/>
        <v>4.1297999996459112E-3</v>
      </c>
      <c r="O33">
        <f t="shared" ca="1" si="3"/>
        <v>1.3909780539494185E-2</v>
      </c>
      <c r="Q33" s="2">
        <f t="shared" si="4"/>
        <v>20703.080000000002</v>
      </c>
    </row>
    <row r="34" spans="1:30" ht="12.75" customHeight="1">
      <c r="A34" s="61" t="s">
        <v>85</v>
      </c>
      <c r="B34" s="63" t="s">
        <v>41</v>
      </c>
      <c r="C34" s="62">
        <v>35892.281999999999</v>
      </c>
      <c r="D34" s="62" t="s">
        <v>73</v>
      </c>
      <c r="E34">
        <f t="shared" si="0"/>
        <v>15559.021702422317</v>
      </c>
      <c r="F34">
        <f t="shared" si="1"/>
        <v>15559</v>
      </c>
      <c r="G34">
        <f t="shared" si="2"/>
        <v>1.4414099998248275E-2</v>
      </c>
      <c r="I34">
        <f t="shared" si="5"/>
        <v>1.4414099998248275E-2</v>
      </c>
      <c r="O34">
        <f t="shared" ca="1" si="3"/>
        <v>1.3811319220238736E-2</v>
      </c>
      <c r="Q34" s="2">
        <f t="shared" si="4"/>
        <v>20873.781999999999</v>
      </c>
    </row>
    <row r="35" spans="1:30" ht="12.75" customHeight="1">
      <c r="A35" s="61" t="s">
        <v>85</v>
      </c>
      <c r="B35" s="63" t="s">
        <v>41</v>
      </c>
      <c r="C35" s="62">
        <v>36085.578000000001</v>
      </c>
      <c r="D35" s="62" t="s">
        <v>73</v>
      </c>
      <c r="E35">
        <f t="shared" si="0"/>
        <v>15850.055580641167</v>
      </c>
      <c r="F35">
        <f t="shared" si="1"/>
        <v>15850</v>
      </c>
      <c r="G35">
        <f t="shared" si="2"/>
        <v>3.6915000004228204E-2</v>
      </c>
      <c r="I35">
        <f t="shared" si="5"/>
        <v>3.6915000004228204E-2</v>
      </c>
      <c r="O35">
        <f t="shared" ca="1" si="3"/>
        <v>1.3699831889875561E-2</v>
      </c>
      <c r="Q35" s="2">
        <f t="shared" si="4"/>
        <v>21067.078000000001</v>
      </c>
    </row>
    <row r="36" spans="1:30" ht="12.75" customHeight="1">
      <c r="A36" s="61" t="s">
        <v>85</v>
      </c>
      <c r="B36" s="63" t="s">
        <v>41</v>
      </c>
      <c r="C36" s="62">
        <v>36904.451999999997</v>
      </c>
      <c r="D36" s="62" t="s">
        <v>73</v>
      </c>
      <c r="E36">
        <f t="shared" si="0"/>
        <v>17082.983711552202</v>
      </c>
      <c r="F36">
        <f t="shared" si="1"/>
        <v>17083</v>
      </c>
      <c r="G36">
        <f t="shared" si="2"/>
        <v>-1.0818300004757475E-2</v>
      </c>
      <c r="I36">
        <f t="shared" si="5"/>
        <v>-1.0818300004757475E-2</v>
      </c>
      <c r="O36">
        <f t="shared" ca="1" si="3"/>
        <v>1.3227447428233657E-2</v>
      </c>
      <c r="Q36" s="2">
        <f t="shared" si="4"/>
        <v>21885.951999999997</v>
      </c>
    </row>
    <row r="37" spans="1:30" ht="12.75" customHeight="1">
      <c r="A37" s="61" t="s">
        <v>85</v>
      </c>
      <c r="B37" s="63" t="s">
        <v>55</v>
      </c>
      <c r="C37" s="62">
        <v>37235.548999999999</v>
      </c>
      <c r="D37" s="62" t="s">
        <v>73</v>
      </c>
      <c r="E37">
        <f t="shared" si="0"/>
        <v>17581.49606554104</v>
      </c>
      <c r="F37">
        <f t="shared" si="1"/>
        <v>17581.5</v>
      </c>
      <c r="G37">
        <f t="shared" si="2"/>
        <v>-2.6131499980692752E-3</v>
      </c>
      <c r="I37">
        <f t="shared" si="5"/>
        <v>-2.6131499980692752E-3</v>
      </c>
      <c r="O37">
        <f t="shared" ca="1" si="3"/>
        <v>1.3036463118315984E-2</v>
      </c>
      <c r="Q37" s="2">
        <f t="shared" si="4"/>
        <v>22217.048999999999</v>
      </c>
    </row>
    <row r="38" spans="1:30" ht="12.75" customHeight="1">
      <c r="A38" s="61" t="s">
        <v>85</v>
      </c>
      <c r="B38" s="63" t="s">
        <v>41</v>
      </c>
      <c r="C38" s="62">
        <v>37584.578000000001</v>
      </c>
      <c r="D38" s="62" t="s">
        <v>73</v>
      </c>
      <c r="E38">
        <f t="shared" si="0"/>
        <v>18107.007527138005</v>
      </c>
      <c r="F38">
        <f t="shared" si="1"/>
        <v>18107</v>
      </c>
      <c r="G38">
        <f t="shared" si="2"/>
        <v>4.9992999993264675E-3</v>
      </c>
      <c r="I38">
        <f t="shared" si="5"/>
        <v>4.9992999993264675E-3</v>
      </c>
      <c r="O38">
        <f t="shared" ca="1" si="3"/>
        <v>1.2835134623106884E-2</v>
      </c>
      <c r="Q38" s="2">
        <f t="shared" si="4"/>
        <v>22566.078000000001</v>
      </c>
    </row>
    <row r="39" spans="1:30" ht="12.75" customHeight="1">
      <c r="A39" s="61" t="s">
        <v>85</v>
      </c>
      <c r="B39" s="63" t="s">
        <v>41</v>
      </c>
      <c r="C39" s="62">
        <v>37942.565000000002</v>
      </c>
      <c r="D39" s="62" t="s">
        <v>73</v>
      </c>
      <c r="E39">
        <f t="shared" si="0"/>
        <v>18646.006497431914</v>
      </c>
      <c r="F39">
        <f t="shared" si="1"/>
        <v>18646</v>
      </c>
      <c r="G39">
        <f t="shared" si="2"/>
        <v>4.3154000013601035E-3</v>
      </c>
      <c r="I39">
        <f t="shared" si="5"/>
        <v>4.3154000013601035E-3</v>
      </c>
      <c r="O39">
        <f t="shared" ca="1" si="3"/>
        <v>1.2628634035252068E-2</v>
      </c>
      <c r="Q39" s="2">
        <f t="shared" si="4"/>
        <v>22924.065000000002</v>
      </c>
    </row>
    <row r="40" spans="1:30" ht="12.75" customHeight="1">
      <c r="A40" s="61" t="s">
        <v>85</v>
      </c>
      <c r="B40" s="63" t="s">
        <v>41</v>
      </c>
      <c r="C40" s="62">
        <v>37992.374000000003</v>
      </c>
      <c r="D40" s="62" t="s">
        <v>73</v>
      </c>
      <c r="E40">
        <f t="shared" si="0"/>
        <v>18721.000839995664</v>
      </c>
      <c r="F40">
        <f t="shared" si="1"/>
        <v>18721</v>
      </c>
      <c r="G40">
        <f t="shared" si="2"/>
        <v>5.5790000624256209E-4</v>
      </c>
      <c r="I40">
        <f t="shared" si="5"/>
        <v>5.5790000624256209E-4</v>
      </c>
      <c r="O40">
        <f t="shared" ca="1" si="3"/>
        <v>1.2599900187220323E-2</v>
      </c>
      <c r="Q40" s="2">
        <f t="shared" si="4"/>
        <v>22973.874000000003</v>
      </c>
    </row>
    <row r="41" spans="1:30" ht="12.75" customHeight="1">
      <c r="A41" s="61" t="s">
        <v>85</v>
      </c>
      <c r="B41" s="63" t="s">
        <v>41</v>
      </c>
      <c r="C41" s="62">
        <v>38328.438000000002</v>
      </c>
      <c r="D41" s="62" t="s">
        <v>73</v>
      </c>
      <c r="E41">
        <f t="shared" si="0"/>
        <v>19226.991699867252</v>
      </c>
      <c r="F41">
        <f t="shared" si="1"/>
        <v>19227</v>
      </c>
      <c r="G41">
        <f t="shared" si="2"/>
        <v>-5.5127000014181249E-3</v>
      </c>
      <c r="I41">
        <f t="shared" si="5"/>
        <v>-5.5127000014181249E-3</v>
      </c>
      <c r="O41">
        <f t="shared" ca="1" si="3"/>
        <v>1.2406042492499474E-2</v>
      </c>
      <c r="Q41" s="2">
        <f t="shared" si="4"/>
        <v>23309.938000000002</v>
      </c>
    </row>
    <row r="42" spans="1:30" ht="12.75" customHeight="1">
      <c r="A42" s="61" t="s">
        <v>85</v>
      </c>
      <c r="B42" s="63" t="s">
        <v>41</v>
      </c>
      <c r="C42" s="62">
        <v>38439.381000000001</v>
      </c>
      <c r="D42" s="62" t="s">
        <v>73</v>
      </c>
      <c r="E42">
        <f t="shared" si="0"/>
        <v>19394.031739760645</v>
      </c>
      <c r="F42">
        <f t="shared" si="1"/>
        <v>19394</v>
      </c>
      <c r="G42">
        <f t="shared" si="2"/>
        <v>2.108060000318801E-2</v>
      </c>
      <c r="I42">
        <f t="shared" si="5"/>
        <v>2.108060000318801E-2</v>
      </c>
      <c r="O42">
        <f t="shared" ca="1" si="3"/>
        <v>1.2342061790882122E-2</v>
      </c>
      <c r="Q42" s="2">
        <f t="shared" si="4"/>
        <v>23420.881000000001</v>
      </c>
    </row>
    <row r="43" spans="1:30" ht="12.75" customHeight="1">
      <c r="A43" s="61" t="s">
        <v>85</v>
      </c>
      <c r="B43" s="63" t="s">
        <v>41</v>
      </c>
      <c r="C43" s="62">
        <v>38441.35</v>
      </c>
      <c r="D43" s="62" t="s">
        <v>73</v>
      </c>
      <c r="E43">
        <f t="shared" si="0"/>
        <v>19396.996341750404</v>
      </c>
      <c r="F43">
        <f t="shared" si="1"/>
        <v>19397</v>
      </c>
      <c r="G43">
        <f t="shared" si="2"/>
        <v>-2.4296999981743284E-3</v>
      </c>
      <c r="I43">
        <f t="shared" si="5"/>
        <v>-2.4296999981743284E-3</v>
      </c>
      <c r="O43">
        <f t="shared" ca="1" si="3"/>
        <v>1.2340912436960852E-2</v>
      </c>
      <c r="Q43" s="2">
        <f t="shared" si="4"/>
        <v>23422.85</v>
      </c>
    </row>
    <row r="44" spans="1:30" ht="12.75" customHeight="1">
      <c r="A44" s="61" t="s">
        <v>85</v>
      </c>
      <c r="B44" s="63" t="s">
        <v>55</v>
      </c>
      <c r="C44" s="62">
        <v>38462.298999999999</v>
      </c>
      <c r="D44" s="62" t="s">
        <v>73</v>
      </c>
      <c r="E44">
        <f t="shared" si="0"/>
        <v>19428.537960380931</v>
      </c>
      <c r="F44">
        <f t="shared" si="1"/>
        <v>19428.5</v>
      </c>
      <c r="G44">
        <f t="shared" si="2"/>
        <v>2.521215000160737E-2</v>
      </c>
      <c r="I44">
        <f t="shared" si="5"/>
        <v>2.521215000160737E-2</v>
      </c>
      <c r="O44">
        <f t="shared" ca="1" si="3"/>
        <v>1.2328844220787519E-2</v>
      </c>
      <c r="Q44" s="2">
        <f t="shared" si="4"/>
        <v>23443.798999999999</v>
      </c>
    </row>
    <row r="45" spans="1:30" ht="12.75" customHeight="1">
      <c r="A45" t="s">
        <v>30</v>
      </c>
      <c r="C45" s="13">
        <v>42448.302000000003</v>
      </c>
      <c r="D45" s="10"/>
      <c r="E45">
        <f t="shared" si="0"/>
        <v>25430.017099535202</v>
      </c>
      <c r="F45">
        <f t="shared" si="1"/>
        <v>25430</v>
      </c>
      <c r="G45">
        <f t="shared" si="2"/>
        <v>1.1357000003044959E-2</v>
      </c>
      <c r="I45">
        <f t="shared" si="5"/>
        <v>1.1357000003044959E-2</v>
      </c>
      <c r="O45">
        <f t="shared" ca="1" si="3"/>
        <v>1.00295617012872E-2</v>
      </c>
      <c r="Q45" s="2">
        <f t="shared" si="4"/>
        <v>27429.802000000003</v>
      </c>
      <c r="AA45">
        <v>10</v>
      </c>
      <c r="AB45" t="s">
        <v>29</v>
      </c>
      <c r="AD45" t="s">
        <v>31</v>
      </c>
    </row>
    <row r="46" spans="1:30" ht="12.75" customHeight="1">
      <c r="A46" t="s">
        <v>30</v>
      </c>
      <c r="C46" s="13">
        <v>42450.288999999997</v>
      </c>
      <c r="D46" s="10"/>
      <c r="E46">
        <f t="shared" si="0"/>
        <v>25433.008803015971</v>
      </c>
      <c r="F46">
        <f t="shared" si="1"/>
        <v>25433</v>
      </c>
      <c r="G46">
        <f t="shared" si="2"/>
        <v>5.8466999980737455E-3</v>
      </c>
      <c r="I46">
        <f t="shared" si="5"/>
        <v>5.8466999980737455E-3</v>
      </c>
      <c r="O46">
        <f t="shared" ca="1" si="3"/>
        <v>1.002841234736593E-2</v>
      </c>
      <c r="Q46" s="2">
        <f t="shared" si="4"/>
        <v>27431.788999999997</v>
      </c>
      <c r="AA46">
        <v>8</v>
      </c>
      <c r="AB46" t="s">
        <v>29</v>
      </c>
      <c r="AD46" t="s">
        <v>31</v>
      </c>
    </row>
    <row r="47" spans="1:30" ht="12.75" customHeight="1">
      <c r="A47" t="s">
        <v>30</v>
      </c>
      <c r="C47" s="13">
        <v>42452.277999999998</v>
      </c>
      <c r="D47" s="10"/>
      <c r="E47">
        <f t="shared" si="0"/>
        <v>25436.003517773534</v>
      </c>
      <c r="F47">
        <f t="shared" si="1"/>
        <v>25436</v>
      </c>
      <c r="G47">
        <f t="shared" si="2"/>
        <v>2.3364000007859431E-3</v>
      </c>
      <c r="I47">
        <f t="shared" si="5"/>
        <v>2.3364000007859431E-3</v>
      </c>
      <c r="O47">
        <f t="shared" ca="1" si="3"/>
        <v>1.0027262993444658E-2</v>
      </c>
      <c r="Q47" s="2">
        <f t="shared" si="4"/>
        <v>27433.777999999998</v>
      </c>
      <c r="AA47">
        <v>7</v>
      </c>
      <c r="AB47" t="s">
        <v>29</v>
      </c>
      <c r="AD47" t="s">
        <v>31</v>
      </c>
    </row>
    <row r="48" spans="1:30" ht="12.75" customHeight="1">
      <c r="A48" t="s">
        <v>30</v>
      </c>
      <c r="C48" s="13">
        <v>42452.284</v>
      </c>
      <c r="D48" s="10"/>
      <c r="E48">
        <f t="shared" si="0"/>
        <v>25436.012551603875</v>
      </c>
      <c r="F48">
        <f t="shared" si="1"/>
        <v>25436</v>
      </c>
      <c r="G48">
        <f t="shared" si="2"/>
        <v>8.336400002008304E-3</v>
      </c>
      <c r="I48">
        <f t="shared" si="5"/>
        <v>8.336400002008304E-3</v>
      </c>
      <c r="O48">
        <f t="shared" ca="1" si="3"/>
        <v>1.0027262993444658E-2</v>
      </c>
      <c r="Q48" s="2">
        <f t="shared" si="4"/>
        <v>27433.784</v>
      </c>
      <c r="AA48">
        <v>7</v>
      </c>
      <c r="AB48" t="s">
        <v>32</v>
      </c>
      <c r="AD48" t="s">
        <v>31</v>
      </c>
    </row>
    <row r="49" spans="1:17" ht="12.75" customHeight="1">
      <c r="A49" s="61" t="s">
        <v>342</v>
      </c>
      <c r="B49" s="63" t="s">
        <v>55</v>
      </c>
      <c r="C49" s="62">
        <v>42835.171999999999</v>
      </c>
      <c r="D49" s="62" t="s">
        <v>73</v>
      </c>
      <c r="E49">
        <f t="shared" si="0"/>
        <v>26012.503423445287</v>
      </c>
      <c r="F49">
        <f t="shared" si="1"/>
        <v>26012.5</v>
      </c>
      <c r="G49">
        <f t="shared" si="2"/>
        <v>2.273750003951136E-3</v>
      </c>
      <c r="I49">
        <f t="shared" si="5"/>
        <v>2.273750003951136E-3</v>
      </c>
      <c r="O49">
        <f t="shared" ca="1" si="3"/>
        <v>9.8063954815739707E-3</v>
      </c>
      <c r="Q49" s="2">
        <f t="shared" si="4"/>
        <v>27816.671999999999</v>
      </c>
    </row>
    <row r="50" spans="1:17" ht="12.75" customHeight="1">
      <c r="A50" t="s">
        <v>39</v>
      </c>
      <c r="C50" s="13">
        <v>42835.181299999997</v>
      </c>
      <c r="D50" s="10"/>
      <c r="E50">
        <f t="shared" si="0"/>
        <v>26012.51742588231</v>
      </c>
      <c r="F50">
        <f t="shared" si="1"/>
        <v>26012.5</v>
      </c>
      <c r="G50">
        <f t="shared" si="2"/>
        <v>1.1573750001844019E-2</v>
      </c>
      <c r="J50">
        <f>+G50</f>
        <v>1.1573750001844019E-2</v>
      </c>
      <c r="O50">
        <f t="shared" ca="1" si="3"/>
        <v>9.8063954815739707E-3</v>
      </c>
      <c r="Q50" s="2">
        <f t="shared" si="4"/>
        <v>27816.681299999997</v>
      </c>
    </row>
    <row r="51" spans="1:17" ht="12.75" customHeight="1">
      <c r="A51" t="s">
        <v>39</v>
      </c>
      <c r="C51" s="13">
        <v>42836.160499999998</v>
      </c>
      <c r="D51" s="10"/>
      <c r="E51">
        <f t="shared" si="0"/>
        <v>26013.991746993728</v>
      </c>
      <c r="F51">
        <f t="shared" si="1"/>
        <v>26014</v>
      </c>
      <c r="G51">
        <f t="shared" si="2"/>
        <v>-5.4814000031910837E-3</v>
      </c>
      <c r="J51">
        <f>+G51</f>
        <v>-5.4814000031910837E-3</v>
      </c>
      <c r="O51">
        <f t="shared" ca="1" si="3"/>
        <v>9.8058208046133358E-3</v>
      </c>
      <c r="Q51" s="2">
        <f t="shared" si="4"/>
        <v>27817.660499999998</v>
      </c>
    </row>
    <row r="52" spans="1:17">
      <c r="A52" s="61" t="s">
        <v>342</v>
      </c>
      <c r="B52" s="63" t="s">
        <v>41</v>
      </c>
      <c r="C52" s="62">
        <v>42836.163999999997</v>
      </c>
      <c r="D52" s="62" t="s">
        <v>73</v>
      </c>
      <c r="E52">
        <f t="shared" si="0"/>
        <v>26013.997016728092</v>
      </c>
      <c r="F52">
        <f t="shared" si="1"/>
        <v>26014</v>
      </c>
      <c r="G52">
        <f t="shared" si="2"/>
        <v>-1.9814000042970292E-3</v>
      </c>
      <c r="I52">
        <f>+G52</f>
        <v>-1.9814000042970292E-3</v>
      </c>
      <c r="O52">
        <f t="shared" ca="1" si="3"/>
        <v>9.8058208046133358E-3</v>
      </c>
      <c r="Q52" s="2">
        <f t="shared" si="4"/>
        <v>27817.663999999997</v>
      </c>
    </row>
    <row r="53" spans="1:17">
      <c r="A53" s="61" t="s">
        <v>342</v>
      </c>
      <c r="B53" s="63" t="s">
        <v>41</v>
      </c>
      <c r="C53" s="62">
        <v>42840.154999999999</v>
      </c>
      <c r="D53" s="62" t="s">
        <v>73</v>
      </c>
      <c r="E53">
        <f t="shared" ref="E53:E84" si="6">+(C53-C$7)/C$8</f>
        <v>26020.006019542281</v>
      </c>
      <c r="F53">
        <f t="shared" ref="F53:F84" si="7">ROUND(2*E53,0)/2</f>
        <v>26020</v>
      </c>
      <c r="G53">
        <f t="shared" si="2"/>
        <v>3.9980000001378357E-3</v>
      </c>
      <c r="I53">
        <f>+G53</f>
        <v>3.9980000001378357E-3</v>
      </c>
      <c r="O53">
        <f t="shared" ref="O53:O84" ca="1" si="8">+C$11+C$12*$F53</f>
        <v>9.8035220967707965E-3</v>
      </c>
      <c r="Q53" s="2">
        <f t="shared" ref="Q53:Q84" si="9">+C53-15018.5</f>
        <v>27821.654999999999</v>
      </c>
    </row>
    <row r="54" spans="1:17" ht="12.75" customHeight="1">
      <c r="A54" t="s">
        <v>39</v>
      </c>
      <c r="C54" s="13">
        <v>42840.162799999998</v>
      </c>
      <c r="D54" s="10"/>
      <c r="E54">
        <f t="shared" si="6"/>
        <v>26020.017763521722</v>
      </c>
      <c r="F54">
        <f t="shared" si="7"/>
        <v>26020</v>
      </c>
      <c r="G54">
        <f t="shared" si="2"/>
        <v>1.1797999999544118E-2</v>
      </c>
      <c r="J54">
        <f t="shared" ref="J54:J65" si="10">+G54</f>
        <v>1.1797999999544118E-2</v>
      </c>
      <c r="O54">
        <f t="shared" ca="1" si="8"/>
        <v>9.8035220967707965E-3</v>
      </c>
      <c r="Q54" s="2">
        <f t="shared" si="9"/>
        <v>27821.662799999998</v>
      </c>
    </row>
    <row r="55" spans="1:17" ht="12.75" customHeight="1">
      <c r="A55" t="s">
        <v>39</v>
      </c>
      <c r="C55" s="13">
        <v>44233.58</v>
      </c>
      <c r="D55" s="10"/>
      <c r="E55">
        <f t="shared" si="6"/>
        <v>28118.000193022846</v>
      </c>
      <c r="F55">
        <f t="shared" si="7"/>
        <v>28118</v>
      </c>
      <c r="G55">
        <f t="shared" si="2"/>
        <v>1.2820000119972974E-4</v>
      </c>
      <c r="J55">
        <f t="shared" si="10"/>
        <v>1.2820000119972974E-4</v>
      </c>
      <c r="O55">
        <f t="shared" ca="1" si="8"/>
        <v>8.9997405878294197E-3</v>
      </c>
      <c r="Q55" s="2">
        <f t="shared" si="9"/>
        <v>29215.08</v>
      </c>
    </row>
    <row r="56" spans="1:17">
      <c r="A56" s="61" t="s">
        <v>177</v>
      </c>
      <c r="B56" s="63" t="s">
        <v>55</v>
      </c>
      <c r="C56" s="62">
        <v>44581.297200000001</v>
      </c>
      <c r="D56" s="62" t="s">
        <v>73</v>
      </c>
      <c r="E56">
        <f t="shared" si="6"/>
        <v>28641.536558179901</v>
      </c>
      <c r="F56">
        <f t="shared" si="7"/>
        <v>28641.5</v>
      </c>
      <c r="G56">
        <f t="shared" si="2"/>
        <v>2.4280850004288368E-2</v>
      </c>
      <c r="J56">
        <f t="shared" si="10"/>
        <v>2.4280850004288368E-2</v>
      </c>
      <c r="O56">
        <f t="shared" ca="1" si="8"/>
        <v>8.7991783285678339E-3</v>
      </c>
      <c r="Q56" s="2">
        <f t="shared" si="9"/>
        <v>29562.797200000001</v>
      </c>
    </row>
    <row r="57" spans="1:17" ht="12.75" customHeight="1">
      <c r="A57" t="s">
        <v>39</v>
      </c>
      <c r="C57" s="13">
        <v>44581.303699999997</v>
      </c>
      <c r="D57" s="10"/>
      <c r="E57">
        <f t="shared" si="6"/>
        <v>28641.546344829432</v>
      </c>
      <c r="F57">
        <f t="shared" si="7"/>
        <v>28641.5</v>
      </c>
      <c r="G57">
        <f t="shared" si="2"/>
        <v>3.0780850000155624E-2</v>
      </c>
      <c r="J57">
        <f t="shared" si="10"/>
        <v>3.0780850000155624E-2</v>
      </c>
      <c r="O57">
        <f t="shared" ca="1" si="8"/>
        <v>8.7991783285678339E-3</v>
      </c>
      <c r="Q57" s="2">
        <f t="shared" si="9"/>
        <v>29562.803699999997</v>
      </c>
    </row>
    <row r="58" spans="1:17" ht="12.75" customHeight="1">
      <c r="A58" t="s">
        <v>39</v>
      </c>
      <c r="C58" s="13">
        <v>44590.239500000003</v>
      </c>
      <c r="D58" s="10"/>
      <c r="E58">
        <f t="shared" si="6"/>
        <v>28655.000428354128</v>
      </c>
      <c r="F58">
        <f t="shared" si="7"/>
        <v>28655</v>
      </c>
      <c r="G58">
        <f t="shared" si="2"/>
        <v>2.8450000536395237E-4</v>
      </c>
      <c r="J58">
        <f t="shared" si="10"/>
        <v>2.8450000536395237E-4</v>
      </c>
      <c r="O58">
        <f t="shared" ca="1" si="8"/>
        <v>8.7940062359221187E-3</v>
      </c>
      <c r="Q58" s="2">
        <f t="shared" si="9"/>
        <v>29571.739500000003</v>
      </c>
    </row>
    <row r="59" spans="1:17">
      <c r="A59" s="61" t="s">
        <v>177</v>
      </c>
      <c r="B59" s="63" t="s">
        <v>41</v>
      </c>
      <c r="C59" s="62">
        <v>44590.244899999998</v>
      </c>
      <c r="D59" s="62" t="s">
        <v>73</v>
      </c>
      <c r="E59">
        <f t="shared" si="6"/>
        <v>28655.008558801426</v>
      </c>
      <c r="F59">
        <f t="shared" si="7"/>
        <v>28655</v>
      </c>
      <c r="G59">
        <f t="shared" si="2"/>
        <v>5.6844999999157153E-3</v>
      </c>
      <c r="J59">
        <f t="shared" si="10"/>
        <v>5.6844999999157153E-3</v>
      </c>
      <c r="O59">
        <f t="shared" ca="1" si="8"/>
        <v>8.7940062359221187E-3</v>
      </c>
      <c r="Q59" s="2">
        <f t="shared" si="9"/>
        <v>29571.744899999998</v>
      </c>
    </row>
    <row r="60" spans="1:17" ht="12.75" customHeight="1">
      <c r="A60" t="s">
        <v>39</v>
      </c>
      <c r="C60" s="13">
        <v>44591.208599999998</v>
      </c>
      <c r="D60" s="10"/>
      <c r="E60">
        <f t="shared" si="6"/>
        <v>28656.459542517798</v>
      </c>
      <c r="F60">
        <f t="shared" si="7"/>
        <v>28656.5</v>
      </c>
      <c r="G60">
        <f t="shared" si="2"/>
        <v>-2.6870650006458163E-2</v>
      </c>
      <c r="J60">
        <f t="shared" si="10"/>
        <v>-2.6870650006458163E-2</v>
      </c>
      <c r="O60">
        <f t="shared" ca="1" si="8"/>
        <v>8.7934315589614839E-3</v>
      </c>
      <c r="Q60" s="2">
        <f t="shared" si="9"/>
        <v>29572.708599999998</v>
      </c>
    </row>
    <row r="61" spans="1:17">
      <c r="A61" s="61" t="s">
        <v>177</v>
      </c>
      <c r="B61" s="63" t="s">
        <v>55</v>
      </c>
      <c r="C61" s="62">
        <v>44591.2166</v>
      </c>
      <c r="D61" s="62" t="s">
        <v>73</v>
      </c>
      <c r="E61">
        <f t="shared" si="6"/>
        <v>28656.471587624917</v>
      </c>
      <c r="F61">
        <f t="shared" si="7"/>
        <v>28656.5</v>
      </c>
      <c r="G61">
        <f t="shared" si="2"/>
        <v>-1.8870650004828349E-2</v>
      </c>
      <c r="J61">
        <f t="shared" si="10"/>
        <v>-1.8870650004828349E-2</v>
      </c>
      <c r="O61">
        <f t="shared" ca="1" si="8"/>
        <v>8.7934315589614839E-3</v>
      </c>
      <c r="Q61" s="2">
        <f t="shared" si="9"/>
        <v>29572.7166</v>
      </c>
    </row>
    <row r="62" spans="1:17">
      <c r="A62" s="61" t="s">
        <v>177</v>
      </c>
      <c r="B62" s="63" t="s">
        <v>41</v>
      </c>
      <c r="C62" s="62">
        <v>44604.188800000004</v>
      </c>
      <c r="D62" s="62" t="s">
        <v>73</v>
      </c>
      <c r="E62">
        <f t="shared" si="6"/>
        <v>28676.003029946703</v>
      </c>
      <c r="F62">
        <f t="shared" si="7"/>
        <v>28676</v>
      </c>
      <c r="G62">
        <f t="shared" si="2"/>
        <v>2.0124000002397224E-3</v>
      </c>
      <c r="J62">
        <f t="shared" si="10"/>
        <v>2.0124000002397224E-3</v>
      </c>
      <c r="O62">
        <f t="shared" ca="1" si="8"/>
        <v>8.7859607584732293E-3</v>
      </c>
      <c r="Q62" s="2">
        <f t="shared" si="9"/>
        <v>29585.688800000004</v>
      </c>
    </row>
    <row r="63" spans="1:17" ht="12.75" customHeight="1">
      <c r="A63" t="s">
        <v>39</v>
      </c>
      <c r="C63" s="13">
        <v>44604.190199999997</v>
      </c>
      <c r="D63" s="10"/>
      <c r="E63">
        <f t="shared" si="6"/>
        <v>28676.005137840439</v>
      </c>
      <c r="F63">
        <f t="shared" si="7"/>
        <v>28676</v>
      </c>
      <c r="G63">
        <f t="shared" si="2"/>
        <v>3.4123999939765781E-3</v>
      </c>
      <c r="J63">
        <f t="shared" si="10"/>
        <v>3.4123999939765781E-3</v>
      </c>
      <c r="O63">
        <f t="shared" ca="1" si="8"/>
        <v>8.7859607584732293E-3</v>
      </c>
      <c r="Q63" s="2">
        <f t="shared" si="9"/>
        <v>29585.690199999997</v>
      </c>
    </row>
    <row r="64" spans="1:17">
      <c r="A64" s="61" t="s">
        <v>177</v>
      </c>
      <c r="B64" s="63" t="s">
        <v>55</v>
      </c>
      <c r="C64" s="62">
        <v>44605.185700000002</v>
      </c>
      <c r="D64" s="62" t="s">
        <v>73</v>
      </c>
      <c r="E64">
        <f t="shared" si="6"/>
        <v>28677.504000857614</v>
      </c>
      <c r="F64">
        <f t="shared" si="7"/>
        <v>28677.5</v>
      </c>
      <c r="G64">
        <f t="shared" si="2"/>
        <v>2.6572500064503402E-3</v>
      </c>
      <c r="J64">
        <f t="shared" si="10"/>
        <v>2.6572500064503402E-3</v>
      </c>
      <c r="O64">
        <f t="shared" ca="1" si="8"/>
        <v>8.7853860815125945E-3</v>
      </c>
      <c r="Q64" s="2">
        <f t="shared" si="9"/>
        <v>29586.685700000002</v>
      </c>
    </row>
    <row r="65" spans="1:30" ht="12.75" customHeight="1">
      <c r="A65" t="s">
        <v>39</v>
      </c>
      <c r="C65" s="13">
        <v>44605.189899999998</v>
      </c>
      <c r="D65" s="10"/>
      <c r="E65">
        <f t="shared" si="6"/>
        <v>28677.510324538845</v>
      </c>
      <c r="F65">
        <f t="shared" si="7"/>
        <v>28677.5</v>
      </c>
      <c r="G65">
        <f t="shared" si="2"/>
        <v>6.8572500022128224E-3</v>
      </c>
      <c r="J65">
        <f t="shared" si="10"/>
        <v>6.8572500022128224E-3</v>
      </c>
      <c r="O65">
        <f t="shared" ca="1" si="8"/>
        <v>8.7853860815125945E-3</v>
      </c>
      <c r="Q65" s="2">
        <f t="shared" si="9"/>
        <v>29586.689899999998</v>
      </c>
    </row>
    <row r="66" spans="1:30" ht="12.75" customHeight="1">
      <c r="A66" t="s">
        <v>34</v>
      </c>
      <c r="C66" s="13">
        <v>44902.46</v>
      </c>
      <c r="D66" s="10"/>
      <c r="E66">
        <f t="shared" si="6"/>
        <v>29125.091599275547</v>
      </c>
      <c r="F66">
        <f t="shared" si="7"/>
        <v>29125</v>
      </c>
      <c r="I66" s="9">
        <v>6.0837500001071021E-2</v>
      </c>
      <c r="O66">
        <f t="shared" ca="1" si="8"/>
        <v>8.6139407882565109E-3</v>
      </c>
      <c r="Q66" s="2">
        <f t="shared" si="9"/>
        <v>29883.96</v>
      </c>
      <c r="AA66">
        <v>6</v>
      </c>
      <c r="AB66" t="s">
        <v>33</v>
      </c>
      <c r="AD66" t="s">
        <v>31</v>
      </c>
    </row>
    <row r="67" spans="1:30" ht="12.75" customHeight="1">
      <c r="A67" t="s">
        <v>35</v>
      </c>
      <c r="C67" s="13">
        <v>44908.391000000003</v>
      </c>
      <c r="D67" s="10"/>
      <c r="E67">
        <f t="shared" si="6"/>
        <v>29134.021540566195</v>
      </c>
      <c r="F67">
        <f t="shared" si="7"/>
        <v>29134</v>
      </c>
      <c r="G67">
        <f t="shared" ref="G67:G100" si="11">+C67-(C$7+F67*C$8)</f>
        <v>1.4306600001873448E-2</v>
      </c>
      <c r="I67">
        <f t="shared" ref="I67:I74" si="12">+G67</f>
        <v>1.4306600001873448E-2</v>
      </c>
      <c r="O67">
        <f t="shared" ca="1" si="8"/>
        <v>8.6104927264927002E-3</v>
      </c>
      <c r="Q67" s="2">
        <f t="shared" si="9"/>
        <v>29889.891000000003</v>
      </c>
      <c r="AA67">
        <v>6</v>
      </c>
      <c r="AB67" t="s">
        <v>33</v>
      </c>
      <c r="AD67" t="s">
        <v>31</v>
      </c>
    </row>
    <row r="68" spans="1:30" ht="12.75" customHeight="1">
      <c r="A68" t="s">
        <v>35</v>
      </c>
      <c r="C68" s="13">
        <v>44910.360999999997</v>
      </c>
      <c r="D68" s="10"/>
      <c r="E68">
        <f t="shared" si="6"/>
        <v>29136.987648194336</v>
      </c>
      <c r="F68">
        <f t="shared" si="7"/>
        <v>29137</v>
      </c>
      <c r="G68">
        <f t="shared" si="11"/>
        <v>-8.2037000029231422E-3</v>
      </c>
      <c r="I68">
        <f t="shared" si="12"/>
        <v>-8.2037000029231422E-3</v>
      </c>
      <c r="O68">
        <f t="shared" ca="1" si="8"/>
        <v>8.6093433725714305E-3</v>
      </c>
      <c r="Q68" s="2">
        <f t="shared" si="9"/>
        <v>29891.860999999997</v>
      </c>
      <c r="AA68">
        <v>6</v>
      </c>
      <c r="AB68" t="s">
        <v>33</v>
      </c>
      <c r="AD68" t="s">
        <v>31</v>
      </c>
    </row>
    <row r="69" spans="1:30" ht="12.75" customHeight="1">
      <c r="A69" t="s">
        <v>35</v>
      </c>
      <c r="C69" s="13">
        <v>44912.37</v>
      </c>
      <c r="D69" s="10"/>
      <c r="E69">
        <f t="shared" si="6"/>
        <v>29140.012475719705</v>
      </c>
      <c r="F69">
        <f t="shared" si="7"/>
        <v>29140</v>
      </c>
      <c r="G69">
        <f t="shared" si="11"/>
        <v>8.2860000038635917E-3</v>
      </c>
      <c r="I69">
        <f t="shared" si="12"/>
        <v>8.2860000038635917E-3</v>
      </c>
      <c r="O69">
        <f t="shared" ca="1" si="8"/>
        <v>8.6081940186501608E-3</v>
      </c>
      <c r="Q69" s="2">
        <f t="shared" si="9"/>
        <v>29893.870000000003</v>
      </c>
      <c r="AA69">
        <v>7</v>
      </c>
      <c r="AB69" t="s">
        <v>33</v>
      </c>
      <c r="AD69" t="s">
        <v>31</v>
      </c>
    </row>
    <row r="70" spans="1:30" ht="12.75" customHeight="1">
      <c r="A70" t="s">
        <v>35</v>
      </c>
      <c r="C70" s="13">
        <v>44914.368000000002</v>
      </c>
      <c r="D70" s="10"/>
      <c r="E70">
        <f t="shared" si="6"/>
        <v>29143.020741222772</v>
      </c>
      <c r="F70">
        <f t="shared" si="7"/>
        <v>29143</v>
      </c>
      <c r="G70">
        <f t="shared" si="11"/>
        <v>1.3775700004771352E-2</v>
      </c>
      <c r="I70">
        <f t="shared" si="12"/>
        <v>1.3775700004771352E-2</v>
      </c>
      <c r="O70">
        <f t="shared" ca="1" si="8"/>
        <v>8.6070446647288912E-3</v>
      </c>
      <c r="Q70" s="2">
        <f t="shared" si="9"/>
        <v>29895.868000000002</v>
      </c>
      <c r="AA70">
        <v>5</v>
      </c>
      <c r="AB70" t="s">
        <v>33</v>
      </c>
      <c r="AD70" t="s">
        <v>31</v>
      </c>
    </row>
    <row r="71" spans="1:30" ht="12.75" customHeight="1">
      <c r="A71" t="s">
        <v>35</v>
      </c>
      <c r="C71" s="13">
        <v>44928.313000000002</v>
      </c>
      <c r="D71" s="10"/>
      <c r="E71">
        <f t="shared" si="6"/>
        <v>29164.01686857027</v>
      </c>
      <c r="F71">
        <f t="shared" si="7"/>
        <v>29164</v>
      </c>
      <c r="G71">
        <f t="shared" si="11"/>
        <v>1.1203599999134894E-2</v>
      </c>
      <c r="I71">
        <f t="shared" si="12"/>
        <v>1.1203599999134894E-2</v>
      </c>
      <c r="O71">
        <f t="shared" ca="1" si="8"/>
        <v>8.5989991872800018E-3</v>
      </c>
      <c r="Q71" s="2">
        <f t="shared" si="9"/>
        <v>29909.813000000002</v>
      </c>
      <c r="AA71">
        <v>7</v>
      </c>
      <c r="AB71" t="s">
        <v>33</v>
      </c>
      <c r="AD71" t="s">
        <v>31</v>
      </c>
    </row>
    <row r="72" spans="1:30" ht="12.75" customHeight="1">
      <c r="A72" t="s">
        <v>35</v>
      </c>
      <c r="C72" s="13">
        <v>44930.300999999999</v>
      </c>
      <c r="D72" s="10"/>
      <c r="E72">
        <f t="shared" si="6"/>
        <v>29167.010077689436</v>
      </c>
      <c r="F72">
        <f t="shared" si="7"/>
        <v>29167</v>
      </c>
      <c r="G72">
        <f t="shared" si="11"/>
        <v>6.6932999980053864E-3</v>
      </c>
      <c r="I72">
        <f t="shared" si="12"/>
        <v>6.6932999980053864E-3</v>
      </c>
      <c r="O72">
        <f t="shared" ca="1" si="8"/>
        <v>8.5978498333587321E-3</v>
      </c>
      <c r="Q72" s="2">
        <f t="shared" si="9"/>
        <v>29911.800999999999</v>
      </c>
      <c r="AA72">
        <v>5</v>
      </c>
      <c r="AB72" t="s">
        <v>33</v>
      </c>
      <c r="AD72" t="s">
        <v>31</v>
      </c>
    </row>
    <row r="73" spans="1:30" ht="12.75" customHeight="1">
      <c r="A73" t="s">
        <v>36</v>
      </c>
      <c r="C73" s="13">
        <v>47159.258000000002</v>
      </c>
      <c r="D73" s="10"/>
      <c r="E73">
        <f t="shared" si="6"/>
        <v>32523.013306380402</v>
      </c>
      <c r="F73">
        <f t="shared" si="7"/>
        <v>32523</v>
      </c>
      <c r="G73">
        <f t="shared" si="11"/>
        <v>8.8377000065520406E-3</v>
      </c>
      <c r="I73">
        <f t="shared" si="12"/>
        <v>8.8377000065520406E-3</v>
      </c>
      <c r="O73">
        <f t="shared" ca="1" si="8"/>
        <v>7.3121059134315363E-3</v>
      </c>
      <c r="Q73" s="2">
        <f t="shared" si="9"/>
        <v>32140.758000000002</v>
      </c>
      <c r="AA73">
        <v>8</v>
      </c>
      <c r="AB73" t="s">
        <v>33</v>
      </c>
      <c r="AD73" t="s">
        <v>31</v>
      </c>
    </row>
    <row r="74" spans="1:30" ht="12.75" customHeight="1">
      <c r="A74" t="s">
        <v>38</v>
      </c>
      <c r="C74" s="13">
        <v>47946.298000000003</v>
      </c>
      <c r="D74" s="10"/>
      <c r="E74">
        <f t="shared" si="6"/>
        <v>33708.010944786591</v>
      </c>
      <c r="F74">
        <f t="shared" si="7"/>
        <v>33708</v>
      </c>
      <c r="G74">
        <f t="shared" si="11"/>
        <v>7.2692000030656345E-3</v>
      </c>
      <c r="I74">
        <f t="shared" si="12"/>
        <v>7.2692000030656345E-3</v>
      </c>
      <c r="O74">
        <f t="shared" ca="1" si="8"/>
        <v>6.8581111145299481E-3</v>
      </c>
      <c r="Q74" s="2">
        <f t="shared" si="9"/>
        <v>32927.798000000003</v>
      </c>
      <c r="AA74">
        <v>7</v>
      </c>
      <c r="AB74" t="s">
        <v>37</v>
      </c>
      <c r="AD74" t="s">
        <v>31</v>
      </c>
    </row>
    <row r="75" spans="1:30">
      <c r="A75" s="61" t="s">
        <v>222</v>
      </c>
      <c r="B75" s="63" t="s">
        <v>41</v>
      </c>
      <c r="C75" s="62">
        <v>52266.056499999999</v>
      </c>
      <c r="D75" s="62" t="s">
        <v>73</v>
      </c>
      <c r="E75">
        <f t="shared" si="6"/>
        <v>40212.005177589293</v>
      </c>
      <c r="F75">
        <f t="shared" si="7"/>
        <v>40212</v>
      </c>
      <c r="G75">
        <f t="shared" si="11"/>
        <v>3.4387999985483475E-3</v>
      </c>
      <c r="K75">
        <f t="shared" ref="K75:K89" si="13">+G75</f>
        <v>3.4387999985483475E-3</v>
      </c>
      <c r="O75">
        <f t="shared" ca="1" si="8"/>
        <v>4.3663118132169308E-3</v>
      </c>
      <c r="Q75" s="2">
        <f t="shared" si="9"/>
        <v>37247.556499999999</v>
      </c>
    </row>
    <row r="76" spans="1:30">
      <c r="A76" s="61" t="s">
        <v>226</v>
      </c>
      <c r="B76" s="63" t="s">
        <v>55</v>
      </c>
      <c r="C76" s="62">
        <v>52279.008800000003</v>
      </c>
      <c r="D76" s="62" t="s">
        <v>73</v>
      </c>
      <c r="E76">
        <f t="shared" si="6"/>
        <v>40231.506657707119</v>
      </c>
      <c r="F76">
        <f t="shared" si="7"/>
        <v>40231.5</v>
      </c>
      <c r="G76">
        <f t="shared" si="11"/>
        <v>4.4218500042916276E-3</v>
      </c>
      <c r="K76">
        <f t="shared" si="13"/>
        <v>4.4218500042916276E-3</v>
      </c>
      <c r="O76">
        <f t="shared" ca="1" si="8"/>
        <v>4.3588410127286762E-3</v>
      </c>
      <c r="Q76" s="2">
        <f t="shared" si="9"/>
        <v>37260.508800000003</v>
      </c>
    </row>
    <row r="77" spans="1:30" ht="12.75" customHeight="1">
      <c r="A77" s="10" t="s">
        <v>40</v>
      </c>
      <c r="B77" s="11" t="s">
        <v>41</v>
      </c>
      <c r="C77" s="12">
        <v>52982.697099999998</v>
      </c>
      <c r="D77" s="14">
        <v>2.9999999999999997E-4</v>
      </c>
      <c r="E77">
        <f t="shared" si="6"/>
        <v>41291.006776727823</v>
      </c>
      <c r="F77">
        <f t="shared" si="7"/>
        <v>41291</v>
      </c>
      <c r="G77">
        <f t="shared" si="11"/>
        <v>4.5008999950368889E-3</v>
      </c>
      <c r="K77">
        <f t="shared" si="13"/>
        <v>4.5008999950368889E-3</v>
      </c>
      <c r="O77">
        <f t="shared" ca="1" si="8"/>
        <v>3.9529275195335431E-3</v>
      </c>
      <c r="Q77" s="2">
        <f t="shared" si="9"/>
        <v>37964.197099999998</v>
      </c>
    </row>
    <row r="78" spans="1:30" ht="12.75" customHeight="1">
      <c r="A78" s="33" t="s">
        <v>52</v>
      </c>
      <c r="B78" s="32" t="s">
        <v>41</v>
      </c>
      <c r="C78" s="34">
        <v>53306.8076</v>
      </c>
      <c r="D78" s="34">
        <v>6.9999999999999999E-4</v>
      </c>
      <c r="E78">
        <f t="shared" si="6"/>
        <v>41778.999988105461</v>
      </c>
      <c r="F78">
        <f t="shared" si="7"/>
        <v>41779</v>
      </c>
      <c r="G78">
        <f t="shared" si="11"/>
        <v>-7.90000194683671E-6</v>
      </c>
      <c r="K78">
        <f t="shared" si="13"/>
        <v>-7.90000194683671E-6</v>
      </c>
      <c r="O78">
        <f t="shared" ca="1" si="8"/>
        <v>3.7659659483403156E-3</v>
      </c>
      <c r="Q78" s="2">
        <f t="shared" si="9"/>
        <v>38288.3076</v>
      </c>
    </row>
    <row r="79" spans="1:30">
      <c r="A79" s="61" t="s">
        <v>243</v>
      </c>
      <c r="B79" s="63" t="s">
        <v>41</v>
      </c>
      <c r="C79" s="62">
        <v>53347.988799999999</v>
      </c>
      <c r="D79" s="62" t="s">
        <v>73</v>
      </c>
      <c r="E79">
        <f t="shared" si="6"/>
        <v>41841.003983768613</v>
      </c>
      <c r="F79">
        <f t="shared" si="7"/>
        <v>41841</v>
      </c>
      <c r="G79">
        <f t="shared" si="11"/>
        <v>2.6459000000613742E-3</v>
      </c>
      <c r="K79">
        <f t="shared" si="13"/>
        <v>2.6459000000613742E-3</v>
      </c>
      <c r="O79">
        <f t="shared" ca="1" si="8"/>
        <v>3.7422126339674081E-3</v>
      </c>
      <c r="Q79" s="2">
        <f t="shared" si="9"/>
        <v>38329.488799999999</v>
      </c>
    </row>
    <row r="80" spans="1:30" ht="12.75" customHeight="1">
      <c r="A80" s="35" t="s">
        <v>43</v>
      </c>
      <c r="B80" s="36" t="s">
        <v>41</v>
      </c>
      <c r="C80" s="37">
        <v>53376.549299999999</v>
      </c>
      <c r="D80" s="37">
        <v>2.0000000000000001E-4</v>
      </c>
      <c r="E80">
        <f t="shared" si="6"/>
        <v>41884.005769004056</v>
      </c>
      <c r="F80">
        <f t="shared" si="7"/>
        <v>41884</v>
      </c>
      <c r="G80">
        <f t="shared" si="11"/>
        <v>3.8315999991027638E-3</v>
      </c>
      <c r="K80">
        <f t="shared" si="13"/>
        <v>3.8315999991027638E-3</v>
      </c>
      <c r="O80">
        <f t="shared" ca="1" si="8"/>
        <v>3.7257385610958739E-3</v>
      </c>
      <c r="Q80" s="2">
        <f t="shared" si="9"/>
        <v>38358.049299999999</v>
      </c>
    </row>
    <row r="81" spans="1:17">
      <c r="A81" s="61" t="s">
        <v>255</v>
      </c>
      <c r="B81" s="63" t="s">
        <v>41</v>
      </c>
      <c r="C81" s="62">
        <v>53630.261700000003</v>
      </c>
      <c r="D81" s="62" t="s">
        <v>73</v>
      </c>
      <c r="E81">
        <f t="shared" si="6"/>
        <v>42266.004898443942</v>
      </c>
      <c r="F81">
        <f t="shared" si="7"/>
        <v>42266</v>
      </c>
      <c r="G81">
        <f t="shared" si="11"/>
        <v>3.2534000056330115E-3</v>
      </c>
      <c r="K81">
        <f t="shared" si="13"/>
        <v>3.2534000056330115E-3</v>
      </c>
      <c r="O81">
        <f t="shared" ca="1" si="8"/>
        <v>3.5793874951208469E-3</v>
      </c>
      <c r="Q81" s="2">
        <f t="shared" si="9"/>
        <v>38611.761700000003</v>
      </c>
    </row>
    <row r="82" spans="1:17">
      <c r="A82" s="61" t="s">
        <v>261</v>
      </c>
      <c r="B82" s="63" t="s">
        <v>41</v>
      </c>
      <c r="C82" s="62">
        <v>54467.116900000001</v>
      </c>
      <c r="D82" s="62" t="s">
        <v>73</v>
      </c>
      <c r="E82">
        <f t="shared" si="6"/>
        <v>43526.006214371897</v>
      </c>
      <c r="F82">
        <f t="shared" si="7"/>
        <v>43526</v>
      </c>
      <c r="G82">
        <f t="shared" si="11"/>
        <v>4.1274000031989999E-3</v>
      </c>
      <c r="K82">
        <f t="shared" si="13"/>
        <v>4.1274000031989999E-3</v>
      </c>
      <c r="O82">
        <f t="shared" ca="1" si="8"/>
        <v>3.0966588481875119E-3</v>
      </c>
      <c r="Q82" s="2">
        <f t="shared" si="9"/>
        <v>39448.616900000001</v>
      </c>
    </row>
    <row r="83" spans="1:17" ht="12.75" customHeight="1">
      <c r="A83" s="34" t="s">
        <v>53</v>
      </c>
      <c r="B83" s="32" t="s">
        <v>41</v>
      </c>
      <c r="C83" s="34">
        <v>54783.926800000001</v>
      </c>
      <c r="D83" s="34">
        <v>4.0000000000000002E-4</v>
      </c>
      <c r="E83">
        <f t="shared" si="6"/>
        <v>44003.007362120035</v>
      </c>
      <c r="F83">
        <f t="shared" si="7"/>
        <v>44003</v>
      </c>
      <c r="G83">
        <f t="shared" si="11"/>
        <v>4.8897000015131198E-3</v>
      </c>
      <c r="K83">
        <f t="shared" si="13"/>
        <v>4.8897000015131198E-3</v>
      </c>
      <c r="O83">
        <f t="shared" ca="1" si="8"/>
        <v>2.9139115747056077E-3</v>
      </c>
      <c r="Q83" s="2">
        <f t="shared" si="9"/>
        <v>39765.426800000001</v>
      </c>
    </row>
    <row r="84" spans="1:17" ht="12.75" customHeight="1">
      <c r="A84" s="33" t="s">
        <v>54</v>
      </c>
      <c r="B84" s="32" t="s">
        <v>55</v>
      </c>
      <c r="C84" s="34">
        <v>54831.41418</v>
      </c>
      <c r="D84" s="34">
        <v>1E-4</v>
      </c>
      <c r="E84">
        <f t="shared" si="6"/>
        <v>44074.50618448497</v>
      </c>
      <c r="F84">
        <f t="shared" si="7"/>
        <v>44074.5</v>
      </c>
      <c r="G84">
        <f t="shared" si="11"/>
        <v>4.1075499975704588E-3</v>
      </c>
      <c r="K84">
        <f t="shared" si="13"/>
        <v>4.1075499975704588E-3</v>
      </c>
      <c r="O84">
        <f t="shared" ca="1" si="8"/>
        <v>2.88651863958201E-3</v>
      </c>
      <c r="Q84" s="2">
        <f t="shared" si="9"/>
        <v>39812.91418</v>
      </c>
    </row>
    <row r="85" spans="1:17">
      <c r="A85" s="61" t="s">
        <v>279</v>
      </c>
      <c r="B85" s="63" t="s">
        <v>41</v>
      </c>
      <c r="C85" s="62">
        <v>54845.0288</v>
      </c>
      <c r="D85" s="62" t="s">
        <v>73</v>
      </c>
      <c r="E85">
        <f t="shared" ref="E85:E100" si="14">+(C85-C$7)/C$8</f>
        <v>44095.004879021202</v>
      </c>
      <c r="F85">
        <f t="shared" ref="F85:F103" si="15">ROUND(2*E85,0)/2</f>
        <v>44095</v>
      </c>
      <c r="G85">
        <f t="shared" si="11"/>
        <v>3.240500001993496E-3</v>
      </c>
      <c r="K85">
        <f t="shared" si="13"/>
        <v>3.240500001993496E-3</v>
      </c>
      <c r="O85">
        <f t="shared" ref="O85:O100" ca="1" si="16">+C$11+C$12*$F85</f>
        <v>2.87866472112E-3</v>
      </c>
      <c r="Q85" s="2">
        <f t="shared" ref="Q85:Q100" si="17">+C85-15018.5</f>
        <v>39826.5288</v>
      </c>
    </row>
    <row r="86" spans="1:17" ht="12.75" customHeight="1">
      <c r="A86" s="38" t="s">
        <v>56</v>
      </c>
      <c r="B86" s="39" t="s">
        <v>41</v>
      </c>
      <c r="C86" s="38">
        <v>55137.927799999998</v>
      </c>
      <c r="D86" s="38">
        <v>2.0000000000000001E-4</v>
      </c>
      <c r="E86">
        <f t="shared" si="14"/>
        <v>44536.004857791697</v>
      </c>
      <c r="F86">
        <f t="shared" si="15"/>
        <v>44536</v>
      </c>
      <c r="G86">
        <f t="shared" si="11"/>
        <v>3.2263999964925461E-3</v>
      </c>
      <c r="K86">
        <f t="shared" si="13"/>
        <v>3.2263999964925461E-3</v>
      </c>
      <c r="O86">
        <f t="shared" ca="1" si="16"/>
        <v>2.7097096946933318E-3</v>
      </c>
      <c r="Q86" s="2">
        <f t="shared" si="17"/>
        <v>40119.427799999998</v>
      </c>
    </row>
    <row r="87" spans="1:17" ht="12.75" customHeight="1">
      <c r="A87" s="40" t="s">
        <v>59</v>
      </c>
      <c r="B87" s="41" t="s">
        <v>41</v>
      </c>
      <c r="C87" s="42">
        <v>55511.8554</v>
      </c>
      <c r="D87" s="42">
        <v>4.0000000000000002E-4</v>
      </c>
      <c r="E87">
        <f t="shared" si="14"/>
        <v>45099.004607404037</v>
      </c>
      <c r="F87">
        <f t="shared" si="15"/>
        <v>45099</v>
      </c>
      <c r="G87">
        <f t="shared" si="11"/>
        <v>3.0601000034948811E-3</v>
      </c>
      <c r="K87">
        <f t="shared" si="13"/>
        <v>3.0601000034948811E-3</v>
      </c>
      <c r="O87">
        <f t="shared" ca="1" si="16"/>
        <v>2.4940142754683592E-3</v>
      </c>
      <c r="Q87" s="2">
        <f t="shared" si="17"/>
        <v>40493.3554</v>
      </c>
    </row>
    <row r="88" spans="1:17">
      <c r="A88" s="61" t="s">
        <v>295</v>
      </c>
      <c r="B88" s="63" t="s">
        <v>55</v>
      </c>
      <c r="C88" s="62">
        <v>55571.962500000001</v>
      </c>
      <c r="D88" s="62" t="s">
        <v>73</v>
      </c>
      <c r="E88">
        <f t="shared" si="14"/>
        <v>45189.504164671074</v>
      </c>
      <c r="F88">
        <f t="shared" si="15"/>
        <v>45189.5</v>
      </c>
      <c r="G88">
        <f t="shared" si="11"/>
        <v>2.7660499981720932E-3</v>
      </c>
      <c r="K88">
        <f t="shared" si="13"/>
        <v>2.7660499981720932E-3</v>
      </c>
      <c r="O88">
        <f t="shared" ca="1" si="16"/>
        <v>2.4593420988433846E-3</v>
      </c>
      <c r="Q88" s="2">
        <f t="shared" si="17"/>
        <v>40553.462500000001</v>
      </c>
    </row>
    <row r="89" spans="1:17" ht="12.75" customHeight="1">
      <c r="A89" s="43" t="s">
        <v>60</v>
      </c>
      <c r="B89" s="44" t="s">
        <v>41</v>
      </c>
      <c r="C89" s="43">
        <v>55849.9162</v>
      </c>
      <c r="D89" s="43">
        <v>5.0000000000000001E-4</v>
      </c>
      <c r="E89">
        <f t="shared" si="14"/>
        <v>45608.001926012628</v>
      </c>
      <c r="F89">
        <f t="shared" si="15"/>
        <v>45608</v>
      </c>
      <c r="G89">
        <f t="shared" si="11"/>
        <v>1.2791999979526736E-3</v>
      </c>
      <c r="K89">
        <f t="shared" si="13"/>
        <v>1.2791999979526736E-3</v>
      </c>
      <c r="O89">
        <f t="shared" ca="1" si="16"/>
        <v>2.2990072268262406E-3</v>
      </c>
      <c r="Q89" s="2">
        <f t="shared" si="17"/>
        <v>40831.4162</v>
      </c>
    </row>
    <row r="90" spans="1:17" ht="12.75" customHeight="1">
      <c r="A90" s="43" t="s">
        <v>61</v>
      </c>
      <c r="B90" s="44" t="s">
        <v>41</v>
      </c>
      <c r="C90" s="43">
        <v>55856.561000000002</v>
      </c>
      <c r="D90" s="43">
        <v>7.0000000000000001E-3</v>
      </c>
      <c r="E90">
        <f t="shared" si="14"/>
        <v>45618.006591985999</v>
      </c>
      <c r="F90">
        <f t="shared" si="15"/>
        <v>45618</v>
      </c>
      <c r="G90">
        <f t="shared" si="11"/>
        <v>4.3781999993370846E-3</v>
      </c>
      <c r="I90">
        <f>+G90</f>
        <v>4.3781999993370846E-3</v>
      </c>
      <c r="O90">
        <f t="shared" ca="1" si="16"/>
        <v>2.2951760470886762E-3</v>
      </c>
      <c r="Q90" s="2">
        <f t="shared" si="17"/>
        <v>40838.061000000002</v>
      </c>
    </row>
    <row r="91" spans="1:17">
      <c r="A91" s="61" t="s">
        <v>295</v>
      </c>
      <c r="B91" s="63" t="s">
        <v>55</v>
      </c>
      <c r="C91" s="62">
        <v>55886.114999999998</v>
      </c>
      <c r="D91" s="62" t="s">
        <v>73</v>
      </c>
      <c r="E91">
        <f t="shared" si="14"/>
        <v>45662.504228961829</v>
      </c>
      <c r="F91">
        <f t="shared" si="15"/>
        <v>45662.5</v>
      </c>
      <c r="G91">
        <f t="shared" si="11"/>
        <v>2.8087500031688251E-3</v>
      </c>
      <c r="K91">
        <f t="shared" ref="K91:K99" si="18">+G91</f>
        <v>2.8087500031688251E-3</v>
      </c>
      <c r="O91">
        <f t="shared" ca="1" si="16"/>
        <v>2.2781272972565055E-3</v>
      </c>
      <c r="Q91" s="2">
        <f t="shared" si="17"/>
        <v>40867.614999999998</v>
      </c>
    </row>
    <row r="92" spans="1:17">
      <c r="A92" s="61" t="s">
        <v>295</v>
      </c>
      <c r="B92" s="63" t="s">
        <v>55</v>
      </c>
      <c r="C92" s="62">
        <v>55916.006500000003</v>
      </c>
      <c r="D92" s="62" t="s">
        <v>73</v>
      </c>
      <c r="E92">
        <f t="shared" si="14"/>
        <v>45707.51001889426</v>
      </c>
      <c r="F92">
        <f t="shared" si="15"/>
        <v>45707.5</v>
      </c>
      <c r="G92">
        <f t="shared" si="11"/>
        <v>6.6542499989736825E-3</v>
      </c>
      <c r="K92">
        <f t="shared" si="18"/>
        <v>6.6542499989736825E-3</v>
      </c>
      <c r="O92">
        <f t="shared" ca="1" si="16"/>
        <v>2.260886988437457E-3</v>
      </c>
      <c r="Q92" s="2">
        <f t="shared" si="17"/>
        <v>40897.506500000003</v>
      </c>
    </row>
    <row r="93" spans="1:17">
      <c r="A93" s="61" t="s">
        <v>318</v>
      </c>
      <c r="B93" s="63" t="s">
        <v>55</v>
      </c>
      <c r="C93" s="62">
        <v>55935.928099999997</v>
      </c>
      <c r="D93" s="62" t="s">
        <v>73</v>
      </c>
      <c r="E93">
        <f t="shared" si="14"/>
        <v>45737.504744642974</v>
      </c>
      <c r="F93">
        <f t="shared" si="15"/>
        <v>45737.5</v>
      </c>
      <c r="G93">
        <f t="shared" si="11"/>
        <v>3.1512499990640208E-3</v>
      </c>
      <c r="K93">
        <f t="shared" si="18"/>
        <v>3.1512499990640208E-3</v>
      </c>
      <c r="O93">
        <f t="shared" ca="1" si="16"/>
        <v>2.2493934492247604E-3</v>
      </c>
      <c r="Q93" s="2">
        <f t="shared" si="17"/>
        <v>40917.428099999997</v>
      </c>
    </row>
    <row r="94" spans="1:17">
      <c r="A94" s="61" t="s">
        <v>318</v>
      </c>
      <c r="B94" s="63" t="s">
        <v>41</v>
      </c>
      <c r="C94" s="62">
        <v>56274.985500000003</v>
      </c>
      <c r="D94" s="62" t="s">
        <v>73</v>
      </c>
      <c r="E94">
        <f t="shared" si="14"/>
        <v>46248.002582470974</v>
      </c>
      <c r="F94">
        <f t="shared" si="15"/>
        <v>46248</v>
      </c>
      <c r="G94">
        <f t="shared" si="11"/>
        <v>1.7152000000351109E-3</v>
      </c>
      <c r="K94">
        <f t="shared" si="18"/>
        <v>1.7152000000351109E-3</v>
      </c>
      <c r="O94">
        <f t="shared" ca="1" si="16"/>
        <v>2.0538117236220087E-3</v>
      </c>
      <c r="Q94" s="2">
        <f t="shared" si="17"/>
        <v>41256.485500000003</v>
      </c>
    </row>
    <row r="95" spans="1:17">
      <c r="A95" s="61" t="s">
        <v>318</v>
      </c>
      <c r="B95" s="63" t="s">
        <v>41</v>
      </c>
      <c r="C95" s="62">
        <v>56274.986900000004</v>
      </c>
      <c r="D95" s="62" t="s">
        <v>73</v>
      </c>
      <c r="E95">
        <f t="shared" si="14"/>
        <v>46248.004690364716</v>
      </c>
      <c r="F95">
        <f t="shared" si="15"/>
        <v>46248</v>
      </c>
      <c r="G95">
        <f t="shared" si="11"/>
        <v>3.1152000010479242E-3</v>
      </c>
      <c r="K95">
        <f t="shared" si="18"/>
        <v>3.1152000010479242E-3</v>
      </c>
      <c r="O95">
        <f t="shared" ca="1" si="16"/>
        <v>2.0538117236220087E-3</v>
      </c>
      <c r="Q95" s="2">
        <f t="shared" si="17"/>
        <v>41256.486900000004</v>
      </c>
    </row>
    <row r="96" spans="1:17">
      <c r="A96" s="61" t="s">
        <v>318</v>
      </c>
      <c r="B96" s="63" t="s">
        <v>41</v>
      </c>
      <c r="C96" s="62">
        <v>56274.987000000001</v>
      </c>
      <c r="D96" s="62" t="s">
        <v>73</v>
      </c>
      <c r="E96">
        <f t="shared" si="14"/>
        <v>46248.004840928552</v>
      </c>
      <c r="F96">
        <f t="shared" si="15"/>
        <v>46248</v>
      </c>
      <c r="G96">
        <f t="shared" si="11"/>
        <v>3.2151999985217117E-3</v>
      </c>
      <c r="K96">
        <f t="shared" si="18"/>
        <v>3.2151999985217117E-3</v>
      </c>
      <c r="O96">
        <f t="shared" ca="1" si="16"/>
        <v>2.0538117236220087E-3</v>
      </c>
      <c r="Q96" s="2">
        <f t="shared" si="17"/>
        <v>41256.487000000001</v>
      </c>
    </row>
    <row r="97" spans="1:17">
      <c r="A97" s="61" t="s">
        <v>318</v>
      </c>
      <c r="B97" s="63" t="s">
        <v>55</v>
      </c>
      <c r="C97" s="62">
        <v>56287.934300000001</v>
      </c>
      <c r="D97" s="62" t="s">
        <v>65</v>
      </c>
      <c r="E97">
        <f t="shared" si="14"/>
        <v>46267.498792854421</v>
      </c>
      <c r="F97">
        <f t="shared" si="15"/>
        <v>46267.5</v>
      </c>
      <c r="G97">
        <f t="shared" si="11"/>
        <v>-8.0175000039162114E-4</v>
      </c>
      <c r="K97">
        <f t="shared" si="18"/>
        <v>-8.0175000039162114E-4</v>
      </c>
      <c r="O97">
        <f t="shared" ca="1" si="16"/>
        <v>2.0463409231337541E-3</v>
      </c>
      <c r="Q97" s="2">
        <f t="shared" si="17"/>
        <v>41269.434300000001</v>
      </c>
    </row>
    <row r="98" spans="1:17">
      <c r="A98" s="61" t="s">
        <v>318</v>
      </c>
      <c r="B98" s="63" t="s">
        <v>55</v>
      </c>
      <c r="C98" s="62">
        <v>56287.935299999997</v>
      </c>
      <c r="D98" s="62" t="s">
        <v>65</v>
      </c>
      <c r="E98">
        <f t="shared" si="14"/>
        <v>46267.500298492807</v>
      </c>
      <c r="F98">
        <f t="shared" si="15"/>
        <v>46267.5</v>
      </c>
      <c r="G98">
        <f t="shared" si="11"/>
        <v>1.9824999617412686E-4</v>
      </c>
      <c r="K98">
        <f t="shared" si="18"/>
        <v>1.9824999617412686E-4</v>
      </c>
      <c r="O98">
        <f t="shared" ca="1" si="16"/>
        <v>2.0463409231337541E-3</v>
      </c>
      <c r="Q98" s="2">
        <f t="shared" si="17"/>
        <v>41269.435299999997</v>
      </c>
    </row>
    <row r="99" spans="1:17">
      <c r="A99" s="61" t="s">
        <v>318</v>
      </c>
      <c r="B99" s="63" t="s">
        <v>55</v>
      </c>
      <c r="C99" s="62">
        <v>56287.935599999997</v>
      </c>
      <c r="D99" s="62" t="s">
        <v>65</v>
      </c>
      <c r="E99">
        <f t="shared" si="14"/>
        <v>46267.500750184328</v>
      </c>
      <c r="F99">
        <f t="shared" si="15"/>
        <v>46267.5</v>
      </c>
      <c r="G99">
        <f t="shared" si="11"/>
        <v>4.9824999587144703E-4</v>
      </c>
      <c r="K99">
        <f t="shared" si="18"/>
        <v>4.9824999587144703E-4</v>
      </c>
      <c r="O99">
        <f t="shared" ca="1" si="16"/>
        <v>2.0463409231337541E-3</v>
      </c>
      <c r="Q99" s="2">
        <f t="shared" si="17"/>
        <v>41269.435599999997</v>
      </c>
    </row>
    <row r="100" spans="1:17" ht="12.75" customHeight="1">
      <c r="A100" s="45" t="s">
        <v>62</v>
      </c>
      <c r="B100" s="46" t="s">
        <v>41</v>
      </c>
      <c r="C100" s="47">
        <v>57055.383999999998</v>
      </c>
      <c r="D100" s="47">
        <v>4.0000000000000001E-3</v>
      </c>
      <c r="E100">
        <f t="shared" si="14"/>
        <v>47423.000523510469</v>
      </c>
      <c r="F100">
        <f t="shared" si="15"/>
        <v>47423</v>
      </c>
      <c r="G100">
        <f t="shared" si="11"/>
        <v>3.4769999911077321E-4</v>
      </c>
      <c r="I100">
        <f>+G100</f>
        <v>3.4769999911077321E-4</v>
      </c>
      <c r="O100">
        <f t="shared" ca="1" si="16"/>
        <v>1.6036481044579866E-3</v>
      </c>
      <c r="Q100" s="2">
        <f t="shared" si="17"/>
        <v>42036.883999999998</v>
      </c>
    </row>
    <row r="101" spans="1:17">
      <c r="A101" s="65" t="s">
        <v>0</v>
      </c>
      <c r="B101" s="66" t="s">
        <v>41</v>
      </c>
      <c r="C101" s="65">
        <v>58482.020899999887</v>
      </c>
      <c r="D101" s="65" t="s">
        <v>15</v>
      </c>
      <c r="E101">
        <f>+(C101-C$7)/C$8</f>
        <v>49570.999808633191</v>
      </c>
      <c r="F101">
        <f t="shared" si="15"/>
        <v>49571</v>
      </c>
      <c r="G101">
        <f>+C101-(C$7+F101*C$8)</f>
        <v>-1.2710010923910886E-4</v>
      </c>
      <c r="K101">
        <f>+G101</f>
        <v>-1.2710010923910886E-4</v>
      </c>
      <c r="O101">
        <f ca="1">+C$11+C$12*$F101</f>
        <v>7.8071069682877914E-4</v>
      </c>
      <c r="Q101" s="2">
        <f>+C101-15018.5</f>
        <v>43463.520899999887</v>
      </c>
    </row>
    <row r="102" spans="1:17">
      <c r="A102" s="65" t="s">
        <v>0</v>
      </c>
      <c r="B102" s="66" t="s">
        <v>41</v>
      </c>
      <c r="C102" s="65">
        <v>58482.021600000095</v>
      </c>
      <c r="D102" s="65" t="s">
        <v>15</v>
      </c>
      <c r="E102">
        <f>+(C102-C$7)/C$8</f>
        <v>49571.000862580375</v>
      </c>
      <c r="F102">
        <f t="shared" si="15"/>
        <v>49571</v>
      </c>
      <c r="G102">
        <f>+C102-(C$7+F102*C$8)</f>
        <v>5.7290009863208979E-4</v>
      </c>
      <c r="K102">
        <f>+G102</f>
        <v>5.7290009863208979E-4</v>
      </c>
      <c r="O102">
        <f ca="1">+C$11+C$12*$F102</f>
        <v>7.8071069682877914E-4</v>
      </c>
      <c r="Q102" s="2">
        <f>+C102-15018.5</f>
        <v>43463.521600000095</v>
      </c>
    </row>
    <row r="103" spans="1:17">
      <c r="A103" s="65" t="s">
        <v>0</v>
      </c>
      <c r="B103" s="66" t="s">
        <v>41</v>
      </c>
      <c r="C103" s="65">
        <v>58482.024000000209</v>
      </c>
      <c r="D103" s="65" t="s">
        <v>15</v>
      </c>
      <c r="E103">
        <f>+(C103-C$7)/C$8</f>
        <v>49571.004476112685</v>
      </c>
      <c r="F103">
        <f t="shared" si="15"/>
        <v>49571</v>
      </c>
      <c r="G103">
        <f>+C103-(C$7+F103*C$8)</f>
        <v>2.9729002126259729E-3</v>
      </c>
      <c r="K103">
        <f>+G103</f>
        <v>2.9729002126259729E-3</v>
      </c>
      <c r="O103">
        <f ca="1">+C$11+C$12*$F103</f>
        <v>7.8071069682877914E-4</v>
      </c>
      <c r="Q103" s="2">
        <f>+C103-15018.5</f>
        <v>43463.524000000209</v>
      </c>
    </row>
    <row r="104" spans="1:17">
      <c r="A104" s="67" t="s">
        <v>343</v>
      </c>
      <c r="B104" s="68" t="s">
        <v>55</v>
      </c>
      <c r="C104" s="69">
        <v>58841.003100000002</v>
      </c>
      <c r="D104" s="69" t="s">
        <v>31</v>
      </c>
      <c r="E104">
        <f t="shared" ref="E104:E113" si="19">+(C104-C$7)/C$8</f>
        <v>50111.497190252921</v>
      </c>
      <c r="F104">
        <f t="shared" ref="F104:F113" si="20">ROUND(2*E104,0)/2</f>
        <v>50111.5</v>
      </c>
      <c r="G104">
        <f t="shared" ref="G104:G113" si="21">+C104-(C$7+F104*C$8)</f>
        <v>-1.866149999841582E-3</v>
      </c>
      <c r="K104">
        <f t="shared" ref="K104:K113" si="22">+G104</f>
        <v>-1.866149999841582E-3</v>
      </c>
      <c r="O104">
        <f t="shared" ref="O104:O113" ca="1" si="23">+C$11+C$12*$F104</f>
        <v>5.7363543201333078E-4</v>
      </c>
      <c r="Q104" s="2">
        <f t="shared" ref="Q104:Q113" si="24">+C104-15018.5</f>
        <v>43822.503100000002</v>
      </c>
    </row>
    <row r="105" spans="1:17">
      <c r="A105" s="67" t="s">
        <v>343</v>
      </c>
      <c r="B105" s="68" t="s">
        <v>55</v>
      </c>
      <c r="C105" s="69">
        <v>58841.003400000001</v>
      </c>
      <c r="D105" s="69" t="s">
        <v>293</v>
      </c>
      <c r="E105">
        <f t="shared" si="19"/>
        <v>50111.497641944443</v>
      </c>
      <c r="F105">
        <f t="shared" si="20"/>
        <v>50111.5</v>
      </c>
      <c r="G105">
        <f t="shared" si="21"/>
        <v>-1.5661500001442619E-3</v>
      </c>
      <c r="K105">
        <f t="shared" si="22"/>
        <v>-1.5661500001442619E-3</v>
      </c>
      <c r="O105">
        <f t="shared" ca="1" si="23"/>
        <v>5.7363543201333078E-4</v>
      </c>
      <c r="Q105" s="2">
        <f t="shared" si="24"/>
        <v>43822.503400000001</v>
      </c>
    </row>
    <row r="106" spans="1:17">
      <c r="A106" s="67" t="s">
        <v>343</v>
      </c>
      <c r="B106" s="68" t="s">
        <v>55</v>
      </c>
      <c r="C106" s="69">
        <v>58841.007400000002</v>
      </c>
      <c r="D106" s="69" t="s">
        <v>72</v>
      </c>
      <c r="E106">
        <f t="shared" si="19"/>
        <v>50111.503664497999</v>
      </c>
      <c r="F106">
        <f t="shared" si="20"/>
        <v>50111.5</v>
      </c>
      <c r="G106">
        <f t="shared" si="21"/>
        <v>2.4338500006706454E-3</v>
      </c>
      <c r="K106">
        <f t="shared" si="22"/>
        <v>2.4338500006706454E-3</v>
      </c>
      <c r="O106">
        <f t="shared" ca="1" si="23"/>
        <v>5.7363543201333078E-4</v>
      </c>
      <c r="Q106" s="2">
        <f t="shared" si="24"/>
        <v>43822.507400000002</v>
      </c>
    </row>
    <row r="107" spans="1:17">
      <c r="A107" s="67" t="s">
        <v>343</v>
      </c>
      <c r="B107" s="68" t="s">
        <v>55</v>
      </c>
      <c r="C107" s="69">
        <v>58844.9902</v>
      </c>
      <c r="D107" s="69" t="s">
        <v>293</v>
      </c>
      <c r="E107">
        <f t="shared" si="19"/>
        <v>50117.500321077387</v>
      </c>
      <c r="F107">
        <f t="shared" si="20"/>
        <v>50117.5</v>
      </c>
      <c r="G107">
        <f t="shared" si="21"/>
        <v>2.132500012521632E-4</v>
      </c>
      <c r="K107">
        <f t="shared" si="22"/>
        <v>2.132500012521632E-4</v>
      </c>
      <c r="O107">
        <f t="shared" ca="1" si="23"/>
        <v>5.7133672417079145E-4</v>
      </c>
      <c r="Q107" s="2">
        <f t="shared" si="24"/>
        <v>43826.4902</v>
      </c>
    </row>
    <row r="108" spans="1:17">
      <c r="A108" s="67" t="s">
        <v>343</v>
      </c>
      <c r="B108" s="68" t="s">
        <v>55</v>
      </c>
      <c r="C108" s="69">
        <v>58844.9905</v>
      </c>
      <c r="D108" s="69" t="s">
        <v>72</v>
      </c>
      <c r="E108">
        <f t="shared" si="19"/>
        <v>50117.500772768908</v>
      </c>
      <c r="F108">
        <f t="shared" si="20"/>
        <v>50117.5</v>
      </c>
      <c r="G108">
        <f t="shared" si="21"/>
        <v>5.1325000094948336E-4</v>
      </c>
      <c r="K108">
        <f t="shared" si="22"/>
        <v>5.1325000094948336E-4</v>
      </c>
      <c r="O108">
        <f t="shared" ca="1" si="23"/>
        <v>5.7133672417079145E-4</v>
      </c>
      <c r="Q108" s="2">
        <f t="shared" si="24"/>
        <v>43826.4905</v>
      </c>
    </row>
    <row r="109" spans="1:17">
      <c r="A109" s="67" t="s">
        <v>343</v>
      </c>
      <c r="B109" s="68" t="s">
        <v>55</v>
      </c>
      <c r="C109" s="69">
        <v>58844.993699999999</v>
      </c>
      <c r="D109" s="69" t="s">
        <v>31</v>
      </c>
      <c r="E109">
        <f t="shared" si="19"/>
        <v>50117.50559081175</v>
      </c>
      <c r="F109">
        <f t="shared" si="20"/>
        <v>50117.5</v>
      </c>
      <c r="G109">
        <f t="shared" si="21"/>
        <v>3.7132500001462176E-3</v>
      </c>
      <c r="K109">
        <f t="shared" si="22"/>
        <v>3.7132500001462176E-3</v>
      </c>
      <c r="O109">
        <f t="shared" ca="1" si="23"/>
        <v>5.7133672417079145E-4</v>
      </c>
      <c r="Q109" s="2">
        <f t="shared" si="24"/>
        <v>43826.493699999999</v>
      </c>
    </row>
    <row r="110" spans="1:17">
      <c r="A110" s="70" t="s">
        <v>344</v>
      </c>
      <c r="B110" s="71" t="s">
        <v>41</v>
      </c>
      <c r="C110" s="72">
        <v>58863.917999999998</v>
      </c>
      <c r="D110" s="72" t="s">
        <v>72</v>
      </c>
      <c r="E110">
        <f t="shared" si="19"/>
        <v>50145.998743394201</v>
      </c>
      <c r="F110">
        <f t="shared" si="20"/>
        <v>50146</v>
      </c>
      <c r="G110">
        <f t="shared" si="21"/>
        <v>-8.3460000314516947E-4</v>
      </c>
      <c r="K110">
        <f t="shared" si="22"/>
        <v>-8.3460000314516947E-4</v>
      </c>
      <c r="O110">
        <f t="shared" ca="1" si="23"/>
        <v>5.6041786191872792E-4</v>
      </c>
      <c r="Q110" s="2">
        <f t="shared" si="24"/>
        <v>43845.417999999998</v>
      </c>
    </row>
    <row r="111" spans="1:17">
      <c r="A111" s="70" t="s">
        <v>344</v>
      </c>
      <c r="B111" s="71" t="s">
        <v>41</v>
      </c>
      <c r="C111" s="72">
        <v>58863.917999999998</v>
      </c>
      <c r="D111" s="72" t="s">
        <v>293</v>
      </c>
      <c r="E111">
        <f t="shared" si="19"/>
        <v>50145.998743394201</v>
      </c>
      <c r="F111">
        <f t="shared" si="20"/>
        <v>50146</v>
      </c>
      <c r="G111">
        <f t="shared" si="21"/>
        <v>-8.3460000314516947E-4</v>
      </c>
      <c r="K111">
        <f t="shared" si="22"/>
        <v>-8.3460000314516947E-4</v>
      </c>
      <c r="O111">
        <f t="shared" ca="1" si="23"/>
        <v>5.6041786191872792E-4</v>
      </c>
      <c r="Q111" s="2">
        <f t="shared" si="24"/>
        <v>43845.417999999998</v>
      </c>
    </row>
    <row r="112" spans="1:17">
      <c r="A112" s="70" t="s">
        <v>344</v>
      </c>
      <c r="B112" s="71" t="s">
        <v>41</v>
      </c>
      <c r="C112" s="72">
        <v>58863.919000000002</v>
      </c>
      <c r="D112" s="72" t="s">
        <v>345</v>
      </c>
      <c r="E112">
        <f t="shared" si="19"/>
        <v>50146.000249032593</v>
      </c>
      <c r="F112">
        <f t="shared" si="20"/>
        <v>50146</v>
      </c>
      <c r="G112">
        <f t="shared" si="21"/>
        <v>1.6540000069653615E-4</v>
      </c>
      <c r="K112">
        <f t="shared" si="22"/>
        <v>1.6540000069653615E-4</v>
      </c>
      <c r="O112">
        <f t="shared" ca="1" si="23"/>
        <v>5.6041786191872792E-4</v>
      </c>
      <c r="Q112" s="2">
        <f t="shared" si="24"/>
        <v>43845.419000000002</v>
      </c>
    </row>
    <row r="113" spans="1:17">
      <c r="A113" s="70" t="s">
        <v>344</v>
      </c>
      <c r="B113" s="71" t="s">
        <v>41</v>
      </c>
      <c r="C113" s="72">
        <v>58863.919000000002</v>
      </c>
      <c r="D113" s="72" t="s">
        <v>31</v>
      </c>
      <c r="E113">
        <f t="shared" si="19"/>
        <v>50146.000249032593</v>
      </c>
      <c r="F113">
        <f t="shared" si="20"/>
        <v>50146</v>
      </c>
      <c r="G113">
        <f t="shared" si="21"/>
        <v>1.6540000069653615E-4</v>
      </c>
      <c r="K113">
        <f t="shared" si="22"/>
        <v>1.6540000069653615E-4</v>
      </c>
      <c r="O113">
        <f t="shared" ca="1" si="23"/>
        <v>5.6041786191872792E-4</v>
      </c>
      <c r="Q113" s="2">
        <f t="shared" si="24"/>
        <v>43845.419000000002</v>
      </c>
    </row>
    <row r="114" spans="1:17">
      <c r="A114" s="73" t="s">
        <v>346</v>
      </c>
      <c r="B114" s="74" t="s">
        <v>41</v>
      </c>
      <c r="C114" s="75">
        <v>59517.129900000058</v>
      </c>
      <c r="D114" s="73" t="s">
        <v>293</v>
      </c>
      <c r="E114">
        <f t="shared" ref="E114:E117" si="25">+(C114-C$7)/C$8</f>
        <v>51129.49965678982</v>
      </c>
      <c r="F114">
        <f t="shared" ref="F114:F117" si="26">ROUND(2*E114,0)/2</f>
        <v>51129.5</v>
      </c>
      <c r="G114">
        <f t="shared" ref="G114:G117" si="27">+C114-(C$7+F114*C$8)</f>
        <v>-2.27949938562233E-4</v>
      </c>
      <c r="K114">
        <f t="shared" ref="K114:K117" si="28">+G114</f>
        <v>-2.27949938562233E-4</v>
      </c>
      <c r="O114">
        <f t="shared" ref="O114:O117" ca="1" si="29">+C$11+C$12*$F114</f>
        <v>1.83621334729097E-4</v>
      </c>
      <c r="Q114" s="2">
        <f t="shared" ref="Q114:Q117" si="30">+C114-15018.5</f>
        <v>44498.629900000058</v>
      </c>
    </row>
    <row r="115" spans="1:17">
      <c r="A115" s="73" t="s">
        <v>346</v>
      </c>
      <c r="B115" s="74" t="s">
        <v>41</v>
      </c>
      <c r="C115" s="75">
        <v>59532.072900000028</v>
      </c>
      <c r="D115" s="73" t="s">
        <v>293</v>
      </c>
      <c r="E115">
        <f t="shared" si="25"/>
        <v>51151.998411250417</v>
      </c>
      <c r="F115">
        <f t="shared" si="26"/>
        <v>51152</v>
      </c>
      <c r="G115">
        <f t="shared" si="27"/>
        <v>-1.0551999730523676E-3</v>
      </c>
      <c r="K115">
        <f t="shared" si="28"/>
        <v>-1.0551999730523676E-3</v>
      </c>
      <c r="O115">
        <f t="shared" ca="1" si="29"/>
        <v>1.7500118031957279E-4</v>
      </c>
      <c r="Q115" s="2">
        <f t="shared" si="30"/>
        <v>44513.572900000028</v>
      </c>
    </row>
    <row r="116" spans="1:17">
      <c r="A116" s="73" t="s">
        <v>346</v>
      </c>
      <c r="B116" s="74" t="s">
        <v>41</v>
      </c>
      <c r="C116" s="75">
        <v>59532.074399999809</v>
      </c>
      <c r="D116" s="73" t="s">
        <v>31</v>
      </c>
      <c r="E116">
        <f t="shared" si="25"/>
        <v>51152.000669707668</v>
      </c>
      <c r="F116">
        <f t="shared" si="26"/>
        <v>51152</v>
      </c>
      <c r="G116">
        <f t="shared" si="27"/>
        <v>4.4479980715550482E-4</v>
      </c>
      <c r="K116">
        <f t="shared" si="28"/>
        <v>4.4479980715550482E-4</v>
      </c>
      <c r="O116">
        <f t="shared" ca="1" si="29"/>
        <v>1.7500118031957279E-4</v>
      </c>
      <c r="Q116" s="2">
        <f t="shared" si="30"/>
        <v>44513.574399999809</v>
      </c>
    </row>
    <row r="117" spans="1:17">
      <c r="A117" s="73" t="s">
        <v>346</v>
      </c>
      <c r="B117" s="74" t="s">
        <v>41</v>
      </c>
      <c r="C117" s="75">
        <v>59542.038699999917</v>
      </c>
      <c r="D117" s="73" t="s">
        <v>72</v>
      </c>
      <c r="E117">
        <f t="shared" si="25"/>
        <v>51167.00330231656</v>
      </c>
      <c r="F117">
        <f t="shared" si="26"/>
        <v>51167</v>
      </c>
      <c r="G117">
        <f t="shared" si="27"/>
        <v>2.1932999152340926E-3</v>
      </c>
      <c r="K117">
        <f t="shared" si="28"/>
        <v>2.1932999152340926E-3</v>
      </c>
      <c r="O117">
        <f t="shared" ca="1" si="29"/>
        <v>1.6925441071322447E-4</v>
      </c>
      <c r="Q117" s="2">
        <f t="shared" si="30"/>
        <v>44523.538699999917</v>
      </c>
    </row>
    <row r="118" spans="1:17">
      <c r="B118" s="19"/>
      <c r="C118" s="10"/>
      <c r="D118" s="10"/>
    </row>
    <row r="119" spans="1:17">
      <c r="B119" s="19"/>
      <c r="C119" s="10"/>
      <c r="D119" s="10"/>
    </row>
    <row r="120" spans="1:17">
      <c r="B120" s="19"/>
      <c r="C120" s="10"/>
      <c r="D120" s="10"/>
    </row>
    <row r="121" spans="1:17">
      <c r="B121" s="19"/>
      <c r="C121" s="10"/>
      <c r="D121" s="10"/>
    </row>
    <row r="122" spans="1:17">
      <c r="B122" s="19"/>
      <c r="C122" s="10"/>
      <c r="D122" s="10"/>
    </row>
    <row r="123" spans="1:17">
      <c r="B123" s="19"/>
      <c r="C123" s="10"/>
      <c r="D123" s="10"/>
    </row>
    <row r="124" spans="1:17">
      <c r="B124" s="19"/>
      <c r="C124" s="10"/>
      <c r="D124" s="10"/>
    </row>
    <row r="125" spans="1:17">
      <c r="B125" s="19"/>
      <c r="C125" s="10"/>
      <c r="D125" s="10"/>
    </row>
    <row r="126" spans="1:17">
      <c r="B126" s="19"/>
      <c r="C126" s="10"/>
      <c r="D126" s="10"/>
    </row>
    <row r="127" spans="1:17">
      <c r="B127" s="19"/>
      <c r="C127" s="10"/>
      <c r="D127" s="10"/>
    </row>
    <row r="128" spans="1:17">
      <c r="B128" s="19"/>
      <c r="C128" s="10"/>
      <c r="D128" s="10"/>
    </row>
    <row r="129" spans="2:4">
      <c r="B129" s="19"/>
      <c r="C129" s="10"/>
      <c r="D129" s="10"/>
    </row>
    <row r="130" spans="2:4">
      <c r="B130" s="19"/>
      <c r="C130" s="10"/>
      <c r="D130" s="10"/>
    </row>
    <row r="131" spans="2:4">
      <c r="B131" s="19"/>
      <c r="C131" s="10"/>
      <c r="D131" s="10"/>
    </row>
    <row r="132" spans="2:4">
      <c r="B132" s="19"/>
      <c r="C132" s="10"/>
      <c r="D132" s="10"/>
    </row>
    <row r="133" spans="2:4">
      <c r="C133" s="10"/>
      <c r="D133" s="10"/>
    </row>
    <row r="134" spans="2:4">
      <c r="C134" s="10"/>
      <c r="D134" s="10"/>
    </row>
    <row r="135" spans="2:4">
      <c r="C135" s="10"/>
      <c r="D135" s="10"/>
    </row>
    <row r="136" spans="2:4">
      <c r="C136" s="10"/>
      <c r="D136" s="10"/>
    </row>
    <row r="137" spans="2:4">
      <c r="C137" s="10"/>
      <c r="D137" s="10"/>
    </row>
    <row r="138" spans="2:4">
      <c r="C138" s="10"/>
      <c r="D138" s="10"/>
    </row>
    <row r="139" spans="2:4">
      <c r="C139" s="10"/>
      <c r="D139" s="10"/>
    </row>
    <row r="140" spans="2:4">
      <c r="C140" s="10"/>
      <c r="D140" s="10"/>
    </row>
    <row r="141" spans="2:4">
      <c r="C141" s="10"/>
      <c r="D141" s="10"/>
    </row>
    <row r="142" spans="2:4">
      <c r="C142" s="10"/>
      <c r="D142" s="10"/>
    </row>
    <row r="143" spans="2:4">
      <c r="C143" s="10"/>
      <c r="D143" s="10"/>
    </row>
    <row r="144" spans="2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</sheetData>
  <protectedRanges>
    <protectedRange sqref="A104:D113" name="Range1"/>
  </protectedRanges>
  <phoneticPr fontId="8" type="noConversion"/>
  <hyperlinks>
    <hyperlink ref="H64338" r:id="rId1" display="http://vsolj.cetus-net.org/bulletin.html"/>
    <hyperlink ref="H64331" r:id="rId2" display="https://www.aavso.org/ejaavso"/>
    <hyperlink ref="I64338" r:id="rId3" display="http://vsolj.cetus-net.org/bulletin.html"/>
    <hyperlink ref="AQ57989" r:id="rId4" display="http://cdsbib.u-strasbg.fr/cgi-bin/cdsbib?1990RMxAA..21..381G"/>
    <hyperlink ref="H64335" r:id="rId5" display="https://www.aavso.org/ejaavso"/>
    <hyperlink ref="AP5353" r:id="rId6" display="http://cdsbib.u-strasbg.fr/cgi-bin/cdsbib?1990RMxAA..21..381G"/>
    <hyperlink ref="AP5356" r:id="rId7" display="http://cdsbib.u-strasbg.fr/cgi-bin/cdsbib?1990RMxAA..21..381G"/>
    <hyperlink ref="AP5354" r:id="rId8" display="http://cdsbib.u-strasbg.fr/cgi-bin/cdsbib?1990RMxAA..21..381G"/>
    <hyperlink ref="AP5338" r:id="rId9" display="http://cdsbib.u-strasbg.fr/cgi-bin/cdsbib?1990RMxAA..21..381G"/>
    <hyperlink ref="AQ5567" r:id="rId10" display="http://cdsbib.u-strasbg.fr/cgi-bin/cdsbib?1990RMxAA..21..381G"/>
    <hyperlink ref="AQ5571" r:id="rId11" display="http://cdsbib.u-strasbg.fr/cgi-bin/cdsbib?1990RMxAA..21..381G"/>
    <hyperlink ref="AQ65251" r:id="rId12" display="http://cdsbib.u-strasbg.fr/cgi-bin/cdsbib?1990RMxAA..21..381G"/>
    <hyperlink ref="I2459" r:id="rId13" display="http://vsolj.cetus-net.org/bulletin.html"/>
    <hyperlink ref="H2459" r:id="rId14" display="http://vsolj.cetus-net.org/bulletin.html"/>
    <hyperlink ref="AQ376" r:id="rId15" display="http://cdsbib.u-strasbg.fr/cgi-bin/cdsbib?1990RMxAA..21..381G"/>
    <hyperlink ref="AQ375" r:id="rId16" display="http://cdsbib.u-strasbg.fr/cgi-bin/cdsbib?1990RMxAA..21..381G"/>
    <hyperlink ref="AP3629" r:id="rId17" display="http://cdsbib.u-strasbg.fr/cgi-bin/cdsbib?1990RMxAA..21..381G"/>
    <hyperlink ref="AP3647" r:id="rId18" display="http://cdsbib.u-strasbg.fr/cgi-bin/cdsbib?1990RMxAA..21..381G"/>
    <hyperlink ref="AP3648" r:id="rId19" display="http://cdsbib.u-strasbg.fr/cgi-bin/cdsbib?1990RMxAA..21..381G"/>
    <hyperlink ref="AP364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topLeftCell="A33" workbookViewId="0">
      <selection activeCell="A34" sqref="A34:D81"/>
    </sheetView>
  </sheetViews>
  <sheetFormatPr defaultRowHeight="12.75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8" t="s">
        <v>63</v>
      </c>
      <c r="I1" s="49" t="s">
        <v>64</v>
      </c>
      <c r="J1" s="50" t="s">
        <v>65</v>
      </c>
    </row>
    <row r="2" spans="1:16">
      <c r="I2" s="51" t="s">
        <v>66</v>
      </c>
      <c r="J2" s="52" t="s">
        <v>67</v>
      </c>
    </row>
    <row r="3" spans="1:16">
      <c r="A3" s="53" t="s">
        <v>68</v>
      </c>
      <c r="I3" s="51" t="s">
        <v>69</v>
      </c>
      <c r="J3" s="52" t="s">
        <v>70</v>
      </c>
    </row>
    <row r="4" spans="1:16">
      <c r="I4" s="51" t="s">
        <v>71</v>
      </c>
      <c r="J4" s="52" t="s">
        <v>70</v>
      </c>
    </row>
    <row r="5" spans="1:16" ht="13.5" thickBot="1">
      <c r="I5" s="54" t="s">
        <v>72</v>
      </c>
      <c r="J5" s="55" t="s">
        <v>73</v>
      </c>
    </row>
    <row r="10" spans="1:16" ht="13.5" thickBot="1"/>
    <row r="11" spans="1:16" ht="12.75" customHeight="1" thickBot="1">
      <c r="A11" s="10" t="str">
        <f t="shared" ref="A11:A42" si="0">P11</f>
        <v> BBS 21 </v>
      </c>
      <c r="B11" s="19" t="str">
        <f t="shared" ref="B11:B42" si="1">IF(H11=INT(H11),"I","II")</f>
        <v>I</v>
      </c>
      <c r="C11" s="10">
        <f t="shared" ref="C11:C42" si="2">1*G11</f>
        <v>42448.302000000003</v>
      </c>
      <c r="D11" s="16" t="str">
        <f t="shared" ref="D11:D42" si="3">VLOOKUP(F11,I$1:J$5,2,FALSE)</f>
        <v>vis</v>
      </c>
      <c r="E11" s="56">
        <f>VLOOKUP(C11,Active!C$21:E$972,3,FALSE)</f>
        <v>25430.017099535202</v>
      </c>
      <c r="F11" s="19" t="s">
        <v>72</v>
      </c>
      <c r="G11" s="16" t="str">
        <f t="shared" ref="G11:G42" si="4">MID(I11,3,LEN(I11)-3)</f>
        <v>42448.302</v>
      </c>
      <c r="H11" s="10">
        <f t="shared" ref="H11:H42" si="5">1*K11</f>
        <v>25430</v>
      </c>
      <c r="I11" s="57" t="s">
        <v>145</v>
      </c>
      <c r="J11" s="58" t="s">
        <v>146</v>
      </c>
      <c r="K11" s="57">
        <v>25430</v>
      </c>
      <c r="L11" s="57" t="s">
        <v>77</v>
      </c>
      <c r="M11" s="58" t="s">
        <v>147</v>
      </c>
      <c r="N11" s="58"/>
      <c r="O11" s="59" t="s">
        <v>148</v>
      </c>
      <c r="P11" s="59" t="s">
        <v>149</v>
      </c>
    </row>
    <row r="12" spans="1:16" ht="12.75" customHeight="1" thickBot="1">
      <c r="A12" s="10" t="str">
        <f t="shared" si="0"/>
        <v> BBS 21 </v>
      </c>
      <c r="B12" s="19" t="str">
        <f t="shared" si="1"/>
        <v>I</v>
      </c>
      <c r="C12" s="10">
        <f t="shared" si="2"/>
        <v>42450.288999999997</v>
      </c>
      <c r="D12" s="16" t="str">
        <f t="shared" si="3"/>
        <v>vis</v>
      </c>
      <c r="E12" s="56">
        <f>VLOOKUP(C12,Active!C$21:E$972,3,FALSE)</f>
        <v>25433.008803015971</v>
      </c>
      <c r="F12" s="19" t="s">
        <v>72</v>
      </c>
      <c r="G12" s="16" t="str">
        <f t="shared" si="4"/>
        <v>42450.289</v>
      </c>
      <c r="H12" s="10">
        <f t="shared" si="5"/>
        <v>25433</v>
      </c>
      <c r="I12" s="57" t="s">
        <v>150</v>
      </c>
      <c r="J12" s="58" t="s">
        <v>151</v>
      </c>
      <c r="K12" s="57">
        <v>25433</v>
      </c>
      <c r="L12" s="57" t="s">
        <v>88</v>
      </c>
      <c r="M12" s="58" t="s">
        <v>147</v>
      </c>
      <c r="N12" s="58"/>
      <c r="O12" s="59" t="s">
        <v>148</v>
      </c>
      <c r="P12" s="59" t="s">
        <v>149</v>
      </c>
    </row>
    <row r="13" spans="1:16" ht="12.75" customHeight="1" thickBot="1">
      <c r="A13" s="10" t="str">
        <f t="shared" si="0"/>
        <v> BBS 21 </v>
      </c>
      <c r="B13" s="19" t="str">
        <f t="shared" si="1"/>
        <v>I</v>
      </c>
      <c r="C13" s="10">
        <f t="shared" si="2"/>
        <v>42452.277999999998</v>
      </c>
      <c r="D13" s="16" t="str">
        <f t="shared" si="3"/>
        <v>vis</v>
      </c>
      <c r="E13" s="56">
        <f>VLOOKUP(C13,Active!C$21:E$972,3,FALSE)</f>
        <v>25436.003517773534</v>
      </c>
      <c r="F13" s="19" t="s">
        <v>72</v>
      </c>
      <c r="G13" s="16" t="str">
        <f t="shared" si="4"/>
        <v>42452.278</v>
      </c>
      <c r="H13" s="10">
        <f t="shared" si="5"/>
        <v>25436</v>
      </c>
      <c r="I13" s="57" t="s">
        <v>152</v>
      </c>
      <c r="J13" s="58" t="s">
        <v>153</v>
      </c>
      <c r="K13" s="57">
        <v>25436</v>
      </c>
      <c r="L13" s="57" t="s">
        <v>108</v>
      </c>
      <c r="M13" s="58" t="s">
        <v>147</v>
      </c>
      <c r="N13" s="58"/>
      <c r="O13" s="59" t="s">
        <v>148</v>
      </c>
      <c r="P13" s="59" t="s">
        <v>149</v>
      </c>
    </row>
    <row r="14" spans="1:16" ht="12.75" customHeight="1" thickBot="1">
      <c r="A14" s="10" t="str">
        <f t="shared" si="0"/>
        <v> BBS 21 </v>
      </c>
      <c r="B14" s="19" t="str">
        <f t="shared" si="1"/>
        <v>I</v>
      </c>
      <c r="C14" s="10">
        <f t="shared" si="2"/>
        <v>42452.284</v>
      </c>
      <c r="D14" s="16" t="str">
        <f t="shared" si="3"/>
        <v>vis</v>
      </c>
      <c r="E14" s="56">
        <f>VLOOKUP(C14,Active!C$21:E$972,3,FALSE)</f>
        <v>25436.012551603875</v>
      </c>
      <c r="F14" s="19" t="s">
        <v>72</v>
      </c>
      <c r="G14" s="16" t="str">
        <f t="shared" si="4"/>
        <v>42452.284</v>
      </c>
      <c r="H14" s="10">
        <f t="shared" si="5"/>
        <v>25436</v>
      </c>
      <c r="I14" s="57" t="s">
        <v>154</v>
      </c>
      <c r="J14" s="58" t="s">
        <v>155</v>
      </c>
      <c r="K14" s="57">
        <v>25436</v>
      </c>
      <c r="L14" s="57" t="s">
        <v>156</v>
      </c>
      <c r="M14" s="58" t="s">
        <v>147</v>
      </c>
      <c r="N14" s="58"/>
      <c r="O14" s="59" t="s">
        <v>157</v>
      </c>
      <c r="P14" s="59" t="s">
        <v>149</v>
      </c>
    </row>
    <row r="15" spans="1:16" ht="12.75" customHeight="1" thickBot="1">
      <c r="A15" s="10" t="str">
        <f t="shared" si="0"/>
        <v>IBVS 2185 </v>
      </c>
      <c r="B15" s="19" t="str">
        <f t="shared" si="1"/>
        <v>I</v>
      </c>
      <c r="C15" s="10">
        <f t="shared" si="2"/>
        <v>44233.58</v>
      </c>
      <c r="D15" s="16" t="str">
        <f t="shared" si="3"/>
        <v>vis</v>
      </c>
      <c r="E15" s="56">
        <f>VLOOKUP(C15,Active!C$21:E$972,3,FALSE)</f>
        <v>28118.000193022846</v>
      </c>
      <c r="F15" s="19" t="s">
        <v>72</v>
      </c>
      <c r="G15" s="16" t="str">
        <f t="shared" si="4"/>
        <v>44233.5800</v>
      </c>
      <c r="H15" s="10">
        <f t="shared" si="5"/>
        <v>28118</v>
      </c>
      <c r="I15" s="57" t="s">
        <v>168</v>
      </c>
      <c r="J15" s="58" t="s">
        <v>169</v>
      </c>
      <c r="K15" s="57">
        <v>28118</v>
      </c>
      <c r="L15" s="57" t="s">
        <v>170</v>
      </c>
      <c r="M15" s="58" t="s">
        <v>160</v>
      </c>
      <c r="N15" s="58" t="s">
        <v>161</v>
      </c>
      <c r="O15" s="59" t="s">
        <v>171</v>
      </c>
      <c r="P15" s="60" t="s">
        <v>172</v>
      </c>
    </row>
    <row r="16" spans="1:16" ht="12.75" customHeight="1" thickBot="1">
      <c r="A16" s="10" t="str">
        <f t="shared" si="0"/>
        <v> BBS 57 </v>
      </c>
      <c r="B16" s="19" t="str">
        <f t="shared" si="1"/>
        <v>I</v>
      </c>
      <c r="C16" s="10">
        <f t="shared" si="2"/>
        <v>44902.46</v>
      </c>
      <c r="D16" s="16" t="str">
        <f t="shared" si="3"/>
        <v>vis</v>
      </c>
      <c r="E16" s="56">
        <f>VLOOKUP(C16,Active!C$21:E$972,3,FALSE)</f>
        <v>29125.091599275547</v>
      </c>
      <c r="F16" s="19" t="s">
        <v>72</v>
      </c>
      <c r="G16" s="16" t="str">
        <f t="shared" si="4"/>
        <v>44902.460</v>
      </c>
      <c r="H16" s="10">
        <f t="shared" si="5"/>
        <v>29125</v>
      </c>
      <c r="I16" s="57" t="s">
        <v>190</v>
      </c>
      <c r="J16" s="58" t="s">
        <v>191</v>
      </c>
      <c r="K16" s="57">
        <v>29125</v>
      </c>
      <c r="L16" s="57" t="s">
        <v>192</v>
      </c>
      <c r="M16" s="58" t="s">
        <v>147</v>
      </c>
      <c r="N16" s="58"/>
      <c r="O16" s="59" t="s">
        <v>193</v>
      </c>
      <c r="P16" s="59" t="s">
        <v>194</v>
      </c>
    </row>
    <row r="17" spans="1:16" ht="12.75" customHeight="1" thickBot="1">
      <c r="A17" s="10" t="str">
        <f t="shared" si="0"/>
        <v> BBS 58 </v>
      </c>
      <c r="B17" s="19" t="str">
        <f t="shared" si="1"/>
        <v>I</v>
      </c>
      <c r="C17" s="10">
        <f t="shared" si="2"/>
        <v>44908.391000000003</v>
      </c>
      <c r="D17" s="16" t="str">
        <f t="shared" si="3"/>
        <v>vis</v>
      </c>
      <c r="E17" s="56">
        <f>VLOOKUP(C17,Active!C$21:E$972,3,FALSE)</f>
        <v>29134.021540566195</v>
      </c>
      <c r="F17" s="19" t="s">
        <v>72</v>
      </c>
      <c r="G17" s="16" t="str">
        <f t="shared" si="4"/>
        <v>44908.391</v>
      </c>
      <c r="H17" s="10">
        <f t="shared" si="5"/>
        <v>29134</v>
      </c>
      <c r="I17" s="57" t="s">
        <v>195</v>
      </c>
      <c r="J17" s="58" t="s">
        <v>196</v>
      </c>
      <c r="K17" s="57">
        <v>29134</v>
      </c>
      <c r="L17" s="57" t="s">
        <v>117</v>
      </c>
      <c r="M17" s="58" t="s">
        <v>147</v>
      </c>
      <c r="N17" s="58"/>
      <c r="O17" s="59" t="s">
        <v>193</v>
      </c>
      <c r="P17" s="59" t="s">
        <v>197</v>
      </c>
    </row>
    <row r="18" spans="1:16" ht="12.75" customHeight="1" thickBot="1">
      <c r="A18" s="10" t="str">
        <f t="shared" si="0"/>
        <v> BBS 58 </v>
      </c>
      <c r="B18" s="19" t="str">
        <f t="shared" si="1"/>
        <v>I</v>
      </c>
      <c r="C18" s="10">
        <f t="shared" si="2"/>
        <v>44910.360999999997</v>
      </c>
      <c r="D18" s="16" t="str">
        <f t="shared" si="3"/>
        <v>vis</v>
      </c>
      <c r="E18" s="56">
        <f>VLOOKUP(C18,Active!C$21:E$972,3,FALSE)</f>
        <v>29136.987648194336</v>
      </c>
      <c r="F18" s="19" t="s">
        <v>72</v>
      </c>
      <c r="G18" s="16" t="str">
        <f t="shared" si="4"/>
        <v>44910.361</v>
      </c>
      <c r="H18" s="10">
        <f t="shared" si="5"/>
        <v>29137</v>
      </c>
      <c r="I18" s="57" t="s">
        <v>198</v>
      </c>
      <c r="J18" s="58" t="s">
        <v>199</v>
      </c>
      <c r="K18" s="57">
        <v>29137</v>
      </c>
      <c r="L18" s="57" t="s">
        <v>200</v>
      </c>
      <c r="M18" s="58" t="s">
        <v>147</v>
      </c>
      <c r="N18" s="58"/>
      <c r="O18" s="59" t="s">
        <v>193</v>
      </c>
      <c r="P18" s="59" t="s">
        <v>197</v>
      </c>
    </row>
    <row r="19" spans="1:16" ht="12.75" customHeight="1" thickBot="1">
      <c r="A19" s="10" t="str">
        <f t="shared" si="0"/>
        <v> BBS 58 </v>
      </c>
      <c r="B19" s="19" t="str">
        <f t="shared" si="1"/>
        <v>I</v>
      </c>
      <c r="C19" s="10">
        <f t="shared" si="2"/>
        <v>44912.37</v>
      </c>
      <c r="D19" s="16" t="str">
        <f t="shared" si="3"/>
        <v>vis</v>
      </c>
      <c r="E19" s="56">
        <f>VLOOKUP(C19,Active!C$21:E$972,3,FALSE)</f>
        <v>29140.012475719705</v>
      </c>
      <c r="F19" s="19" t="s">
        <v>72</v>
      </c>
      <c r="G19" s="16" t="str">
        <f t="shared" si="4"/>
        <v>44912.370</v>
      </c>
      <c r="H19" s="10">
        <f t="shared" si="5"/>
        <v>29140</v>
      </c>
      <c r="I19" s="57" t="s">
        <v>201</v>
      </c>
      <c r="J19" s="58" t="s">
        <v>202</v>
      </c>
      <c r="K19" s="57">
        <v>29140</v>
      </c>
      <c r="L19" s="57" t="s">
        <v>156</v>
      </c>
      <c r="M19" s="58" t="s">
        <v>147</v>
      </c>
      <c r="N19" s="58"/>
      <c r="O19" s="59" t="s">
        <v>193</v>
      </c>
      <c r="P19" s="59" t="s">
        <v>197</v>
      </c>
    </row>
    <row r="20" spans="1:16" ht="12.75" customHeight="1" thickBot="1">
      <c r="A20" s="10" t="str">
        <f t="shared" si="0"/>
        <v> BBS 58 </v>
      </c>
      <c r="B20" s="19" t="str">
        <f t="shared" si="1"/>
        <v>I</v>
      </c>
      <c r="C20" s="10">
        <f t="shared" si="2"/>
        <v>44914.368000000002</v>
      </c>
      <c r="D20" s="16" t="str">
        <f t="shared" si="3"/>
        <v>vis</v>
      </c>
      <c r="E20" s="56">
        <f>VLOOKUP(C20,Active!C$21:E$972,3,FALSE)</f>
        <v>29143.020741222772</v>
      </c>
      <c r="F20" s="19" t="s">
        <v>72</v>
      </c>
      <c r="G20" s="16" t="str">
        <f t="shared" si="4"/>
        <v>44914.368</v>
      </c>
      <c r="H20" s="10">
        <f t="shared" si="5"/>
        <v>29143</v>
      </c>
      <c r="I20" s="57" t="s">
        <v>203</v>
      </c>
      <c r="J20" s="58" t="s">
        <v>204</v>
      </c>
      <c r="K20" s="57">
        <v>29143</v>
      </c>
      <c r="L20" s="57" t="s">
        <v>117</v>
      </c>
      <c r="M20" s="58" t="s">
        <v>147</v>
      </c>
      <c r="N20" s="58"/>
      <c r="O20" s="59" t="s">
        <v>193</v>
      </c>
      <c r="P20" s="59" t="s">
        <v>197</v>
      </c>
    </row>
    <row r="21" spans="1:16" ht="12.75" customHeight="1" thickBot="1">
      <c r="A21" s="10" t="str">
        <f t="shared" si="0"/>
        <v> BBS 58 </v>
      </c>
      <c r="B21" s="19" t="str">
        <f t="shared" si="1"/>
        <v>I</v>
      </c>
      <c r="C21" s="10">
        <f t="shared" si="2"/>
        <v>44928.313000000002</v>
      </c>
      <c r="D21" s="16" t="str">
        <f t="shared" si="3"/>
        <v>vis</v>
      </c>
      <c r="E21" s="56">
        <f>VLOOKUP(C21,Active!C$21:E$972,3,FALSE)</f>
        <v>29164.01686857027</v>
      </c>
      <c r="F21" s="19" t="s">
        <v>72</v>
      </c>
      <c r="G21" s="16" t="str">
        <f t="shared" si="4"/>
        <v>44928.313</v>
      </c>
      <c r="H21" s="10">
        <f t="shared" si="5"/>
        <v>29164</v>
      </c>
      <c r="I21" s="57" t="s">
        <v>205</v>
      </c>
      <c r="J21" s="58" t="s">
        <v>206</v>
      </c>
      <c r="K21" s="57">
        <v>29164</v>
      </c>
      <c r="L21" s="57" t="s">
        <v>77</v>
      </c>
      <c r="M21" s="58" t="s">
        <v>147</v>
      </c>
      <c r="N21" s="58"/>
      <c r="O21" s="59" t="s">
        <v>193</v>
      </c>
      <c r="P21" s="59" t="s">
        <v>197</v>
      </c>
    </row>
    <row r="22" spans="1:16" ht="12.75" customHeight="1" thickBot="1">
      <c r="A22" s="10" t="str">
        <f t="shared" si="0"/>
        <v> BBS 58 </v>
      </c>
      <c r="B22" s="19" t="str">
        <f t="shared" si="1"/>
        <v>I</v>
      </c>
      <c r="C22" s="10">
        <f t="shared" si="2"/>
        <v>44930.300999999999</v>
      </c>
      <c r="D22" s="16" t="str">
        <f t="shared" si="3"/>
        <v>vis</v>
      </c>
      <c r="E22" s="56">
        <f>VLOOKUP(C22,Active!C$21:E$972,3,FALSE)</f>
        <v>29167.010077689436</v>
      </c>
      <c r="F22" s="19" t="s">
        <v>72</v>
      </c>
      <c r="G22" s="16" t="str">
        <f t="shared" si="4"/>
        <v>44930.301</v>
      </c>
      <c r="H22" s="10">
        <f t="shared" si="5"/>
        <v>29167</v>
      </c>
      <c r="I22" s="57" t="s">
        <v>207</v>
      </c>
      <c r="J22" s="58" t="s">
        <v>208</v>
      </c>
      <c r="K22" s="57">
        <v>29167</v>
      </c>
      <c r="L22" s="57" t="s">
        <v>209</v>
      </c>
      <c r="M22" s="58" t="s">
        <v>147</v>
      </c>
      <c r="N22" s="58"/>
      <c r="O22" s="59" t="s">
        <v>193</v>
      </c>
      <c r="P22" s="59" t="s">
        <v>197</v>
      </c>
    </row>
    <row r="23" spans="1:16" ht="12.75" customHeight="1" thickBot="1">
      <c r="A23" s="10" t="str">
        <f t="shared" si="0"/>
        <v> BBS 88 </v>
      </c>
      <c r="B23" s="19" t="str">
        <f t="shared" si="1"/>
        <v>I</v>
      </c>
      <c r="C23" s="10">
        <f t="shared" si="2"/>
        <v>47159.258000000002</v>
      </c>
      <c r="D23" s="16" t="str">
        <f t="shared" si="3"/>
        <v>vis</v>
      </c>
      <c r="E23" s="56">
        <f>VLOOKUP(C23,Active!C$21:E$972,3,FALSE)</f>
        <v>32523.013306380402</v>
      </c>
      <c r="F23" s="19" t="s">
        <v>72</v>
      </c>
      <c r="G23" s="16" t="str">
        <f t="shared" si="4"/>
        <v>47159.258</v>
      </c>
      <c r="H23" s="10">
        <f t="shared" si="5"/>
        <v>32523</v>
      </c>
      <c r="I23" s="57" t="s">
        <v>210</v>
      </c>
      <c r="J23" s="58" t="s">
        <v>211</v>
      </c>
      <c r="K23" s="57">
        <v>32523</v>
      </c>
      <c r="L23" s="57" t="s">
        <v>212</v>
      </c>
      <c r="M23" s="58" t="s">
        <v>147</v>
      </c>
      <c r="N23" s="58"/>
      <c r="O23" s="59" t="s">
        <v>193</v>
      </c>
      <c r="P23" s="59" t="s">
        <v>213</v>
      </c>
    </row>
    <row r="24" spans="1:16" ht="12.75" customHeight="1" thickBot="1">
      <c r="A24" s="10" t="str">
        <f t="shared" si="0"/>
        <v> BBS 94 </v>
      </c>
      <c r="B24" s="19" t="str">
        <f t="shared" si="1"/>
        <v>I</v>
      </c>
      <c r="C24" s="10">
        <f t="shared" si="2"/>
        <v>47946.298000000003</v>
      </c>
      <c r="D24" s="16" t="str">
        <f t="shared" si="3"/>
        <v>vis</v>
      </c>
      <c r="E24" s="56">
        <f>VLOOKUP(C24,Active!C$21:E$972,3,FALSE)</f>
        <v>33708.010944786591</v>
      </c>
      <c r="F24" s="19" t="s">
        <v>72</v>
      </c>
      <c r="G24" s="16" t="str">
        <f t="shared" si="4"/>
        <v>47946.298</v>
      </c>
      <c r="H24" s="10">
        <f t="shared" si="5"/>
        <v>33708</v>
      </c>
      <c r="I24" s="57" t="s">
        <v>214</v>
      </c>
      <c r="J24" s="58" t="s">
        <v>215</v>
      </c>
      <c r="K24" s="57">
        <v>33708</v>
      </c>
      <c r="L24" s="57" t="s">
        <v>209</v>
      </c>
      <c r="M24" s="58" t="s">
        <v>147</v>
      </c>
      <c r="N24" s="58"/>
      <c r="O24" s="59" t="s">
        <v>216</v>
      </c>
      <c r="P24" s="59" t="s">
        <v>217</v>
      </c>
    </row>
    <row r="25" spans="1:16" ht="12.75" customHeight="1" thickBot="1">
      <c r="A25" s="10" t="str">
        <f t="shared" si="0"/>
        <v>IBVS 5502 </v>
      </c>
      <c r="B25" s="19" t="str">
        <f t="shared" si="1"/>
        <v>I</v>
      </c>
      <c r="C25" s="10">
        <f t="shared" si="2"/>
        <v>52982.697099999998</v>
      </c>
      <c r="D25" s="16" t="str">
        <f t="shared" si="3"/>
        <v>vis</v>
      </c>
      <c r="E25" s="56">
        <f>VLOOKUP(C25,Active!C$21:E$972,3,FALSE)</f>
        <v>41291.006776727823</v>
      </c>
      <c r="F25" s="19" t="s">
        <v>72</v>
      </c>
      <c r="G25" s="16" t="str">
        <f t="shared" si="4"/>
        <v>52982.6971</v>
      </c>
      <c r="H25" s="10">
        <f t="shared" si="5"/>
        <v>41291</v>
      </c>
      <c r="I25" s="57" t="s">
        <v>227</v>
      </c>
      <c r="J25" s="58" t="s">
        <v>228</v>
      </c>
      <c r="K25" s="57">
        <v>41291</v>
      </c>
      <c r="L25" s="57" t="s">
        <v>229</v>
      </c>
      <c r="M25" s="58" t="s">
        <v>160</v>
      </c>
      <c r="N25" s="58" t="s">
        <v>161</v>
      </c>
      <c r="O25" s="59" t="s">
        <v>230</v>
      </c>
      <c r="P25" s="60" t="s">
        <v>231</v>
      </c>
    </row>
    <row r="26" spans="1:16" ht="12.75" customHeight="1" thickBot="1">
      <c r="A26" s="10" t="str">
        <f t="shared" si="0"/>
        <v>IBVS 5843 </v>
      </c>
      <c r="B26" s="19" t="str">
        <f t="shared" si="1"/>
        <v>I</v>
      </c>
      <c r="C26" s="10">
        <f t="shared" si="2"/>
        <v>53306.8076</v>
      </c>
      <c r="D26" s="16" t="str">
        <f t="shared" si="3"/>
        <v>vis</v>
      </c>
      <c r="E26" s="56">
        <f>VLOOKUP(C26,Active!C$21:E$972,3,FALSE)</f>
        <v>41778.999988105461</v>
      </c>
      <c r="F26" s="19" t="s">
        <v>72</v>
      </c>
      <c r="G26" s="16" t="str">
        <f t="shared" si="4"/>
        <v>53306.8076</v>
      </c>
      <c r="H26" s="10">
        <f t="shared" si="5"/>
        <v>41779</v>
      </c>
      <c r="I26" s="57" t="s">
        <v>232</v>
      </c>
      <c r="J26" s="58" t="s">
        <v>233</v>
      </c>
      <c r="K26" s="57">
        <v>41779</v>
      </c>
      <c r="L26" s="57" t="s">
        <v>234</v>
      </c>
      <c r="M26" s="58" t="s">
        <v>235</v>
      </c>
      <c r="N26" s="58" t="s">
        <v>236</v>
      </c>
      <c r="O26" s="59" t="s">
        <v>237</v>
      </c>
      <c r="P26" s="60" t="s">
        <v>238</v>
      </c>
    </row>
    <row r="27" spans="1:16" ht="12.75" customHeight="1" thickBot="1">
      <c r="A27" s="10" t="str">
        <f t="shared" si="0"/>
        <v>IBVS 5677 </v>
      </c>
      <c r="B27" s="19" t="str">
        <f t="shared" si="1"/>
        <v>I</v>
      </c>
      <c r="C27" s="10">
        <f t="shared" si="2"/>
        <v>53376.549299999999</v>
      </c>
      <c r="D27" s="16" t="str">
        <f t="shared" si="3"/>
        <v>vis</v>
      </c>
      <c r="E27" s="56">
        <f>VLOOKUP(C27,Active!C$21:E$972,3,FALSE)</f>
        <v>41884.005769004056</v>
      </c>
      <c r="F27" s="19" t="s">
        <v>72</v>
      </c>
      <c r="G27" s="16" t="str">
        <f t="shared" si="4"/>
        <v>53376.5493</v>
      </c>
      <c r="H27" s="10">
        <f t="shared" si="5"/>
        <v>41884</v>
      </c>
      <c r="I27" s="57" t="s">
        <v>244</v>
      </c>
      <c r="J27" s="58" t="s">
        <v>245</v>
      </c>
      <c r="K27" s="57" t="s">
        <v>246</v>
      </c>
      <c r="L27" s="57" t="s">
        <v>247</v>
      </c>
      <c r="M27" s="58" t="s">
        <v>160</v>
      </c>
      <c r="N27" s="58" t="s">
        <v>161</v>
      </c>
      <c r="O27" s="59" t="s">
        <v>248</v>
      </c>
      <c r="P27" s="60" t="s">
        <v>249</v>
      </c>
    </row>
    <row r="28" spans="1:16" ht="12.75" customHeight="1" thickBot="1">
      <c r="A28" s="10" t="str">
        <f t="shared" si="0"/>
        <v>IBVS 5871 </v>
      </c>
      <c r="B28" s="19" t="str">
        <f t="shared" si="1"/>
        <v>I</v>
      </c>
      <c r="C28" s="10">
        <f t="shared" si="2"/>
        <v>54783.926800000001</v>
      </c>
      <c r="D28" s="16" t="str">
        <f t="shared" si="3"/>
        <v>vis</v>
      </c>
      <c r="E28" s="56">
        <f>VLOOKUP(C28,Active!C$21:E$972,3,FALSE)</f>
        <v>44003.007362120035</v>
      </c>
      <c r="F28" s="19" t="s">
        <v>72</v>
      </c>
      <c r="G28" s="16" t="str">
        <f t="shared" si="4"/>
        <v>54783.9268</v>
      </c>
      <c r="H28" s="10">
        <f t="shared" si="5"/>
        <v>44003</v>
      </c>
      <c r="I28" s="57" t="s">
        <v>262</v>
      </c>
      <c r="J28" s="58" t="s">
        <v>263</v>
      </c>
      <c r="K28" s="57" t="s">
        <v>264</v>
      </c>
      <c r="L28" s="57" t="s">
        <v>265</v>
      </c>
      <c r="M28" s="58" t="s">
        <v>235</v>
      </c>
      <c r="N28" s="58" t="s">
        <v>72</v>
      </c>
      <c r="O28" s="59" t="s">
        <v>148</v>
      </c>
      <c r="P28" s="60" t="s">
        <v>266</v>
      </c>
    </row>
    <row r="29" spans="1:16" ht="12.75" customHeight="1" thickBot="1">
      <c r="A29" s="10" t="str">
        <f t="shared" si="0"/>
        <v>IBVS 5920 </v>
      </c>
      <c r="B29" s="19" t="str">
        <f t="shared" si="1"/>
        <v>I</v>
      </c>
      <c r="C29" s="10">
        <f t="shared" si="2"/>
        <v>55137.927799999998</v>
      </c>
      <c r="D29" s="16" t="str">
        <f t="shared" si="3"/>
        <v>vis</v>
      </c>
      <c r="E29" s="56">
        <f>VLOOKUP(C29,Active!C$21:E$972,3,FALSE)</f>
        <v>44536.004857791697</v>
      </c>
      <c r="F29" s="19" t="s">
        <v>72</v>
      </c>
      <c r="G29" s="16" t="str">
        <f t="shared" si="4"/>
        <v>55137.9278</v>
      </c>
      <c r="H29" s="10">
        <f t="shared" si="5"/>
        <v>44536</v>
      </c>
      <c r="I29" s="57" t="s">
        <v>280</v>
      </c>
      <c r="J29" s="58" t="s">
        <v>281</v>
      </c>
      <c r="K29" s="57" t="s">
        <v>282</v>
      </c>
      <c r="L29" s="57" t="s">
        <v>277</v>
      </c>
      <c r="M29" s="58" t="s">
        <v>235</v>
      </c>
      <c r="N29" s="58" t="s">
        <v>72</v>
      </c>
      <c r="O29" s="59" t="s">
        <v>148</v>
      </c>
      <c r="P29" s="60" t="s">
        <v>283</v>
      </c>
    </row>
    <row r="30" spans="1:16" ht="12.75" customHeight="1" thickBot="1">
      <c r="A30" s="10" t="str">
        <f t="shared" si="0"/>
        <v>IBVS 5960 </v>
      </c>
      <c r="B30" s="19" t="str">
        <f t="shared" si="1"/>
        <v>I</v>
      </c>
      <c r="C30" s="10">
        <f t="shared" si="2"/>
        <v>55511.8554</v>
      </c>
      <c r="D30" s="16" t="str">
        <f t="shared" si="3"/>
        <v>vis</v>
      </c>
      <c r="E30" s="56">
        <f>VLOOKUP(C30,Active!C$21:E$972,3,FALSE)</f>
        <v>45099.004607404037</v>
      </c>
      <c r="F30" s="19" t="s">
        <v>72</v>
      </c>
      <c r="G30" s="16" t="str">
        <f t="shared" si="4"/>
        <v>55511.8554</v>
      </c>
      <c r="H30" s="10">
        <f t="shared" si="5"/>
        <v>45099</v>
      </c>
      <c r="I30" s="57" t="s">
        <v>284</v>
      </c>
      <c r="J30" s="58" t="s">
        <v>285</v>
      </c>
      <c r="K30" s="57" t="s">
        <v>286</v>
      </c>
      <c r="L30" s="57" t="s">
        <v>287</v>
      </c>
      <c r="M30" s="58" t="s">
        <v>235</v>
      </c>
      <c r="N30" s="58" t="s">
        <v>72</v>
      </c>
      <c r="O30" s="59" t="s">
        <v>148</v>
      </c>
      <c r="P30" s="60" t="s">
        <v>288</v>
      </c>
    </row>
    <row r="31" spans="1:16" ht="12.75" customHeight="1" thickBot="1">
      <c r="A31" s="10" t="str">
        <f t="shared" si="0"/>
        <v>IBVS 6011 </v>
      </c>
      <c r="B31" s="19" t="str">
        <f t="shared" si="1"/>
        <v>I</v>
      </c>
      <c r="C31" s="10">
        <f t="shared" si="2"/>
        <v>55849.9162</v>
      </c>
      <c r="D31" s="16" t="str">
        <f t="shared" si="3"/>
        <v>vis</v>
      </c>
      <c r="E31" s="56">
        <f>VLOOKUP(C31,Active!C$21:E$972,3,FALSE)</f>
        <v>45608.001926012628</v>
      </c>
      <c r="F31" s="19" t="s">
        <v>72</v>
      </c>
      <c r="G31" s="16" t="str">
        <f t="shared" si="4"/>
        <v>55849.9162</v>
      </c>
      <c r="H31" s="10">
        <f t="shared" si="5"/>
        <v>45608</v>
      </c>
      <c r="I31" s="57" t="s">
        <v>296</v>
      </c>
      <c r="J31" s="58" t="s">
        <v>297</v>
      </c>
      <c r="K31" s="57" t="s">
        <v>298</v>
      </c>
      <c r="L31" s="57" t="s">
        <v>299</v>
      </c>
      <c r="M31" s="58" t="s">
        <v>235</v>
      </c>
      <c r="N31" s="58" t="s">
        <v>72</v>
      </c>
      <c r="O31" s="59" t="s">
        <v>148</v>
      </c>
      <c r="P31" s="60" t="s">
        <v>300</v>
      </c>
    </row>
    <row r="32" spans="1:16" ht="12.75" customHeight="1" thickBot="1">
      <c r="A32" s="10" t="str">
        <f t="shared" si="0"/>
        <v>OEJV 0142 </v>
      </c>
      <c r="B32" s="19" t="str">
        <f t="shared" si="1"/>
        <v>I</v>
      </c>
      <c r="C32" s="10">
        <f t="shared" si="2"/>
        <v>55856.561000000002</v>
      </c>
      <c r="D32" s="16" t="str">
        <f t="shared" si="3"/>
        <v>vis</v>
      </c>
      <c r="E32" s="56">
        <f>VLOOKUP(C32,Active!C$21:E$972,3,FALSE)</f>
        <v>45618.006591985999</v>
      </c>
      <c r="F32" s="19" t="s">
        <v>72</v>
      </c>
      <c r="G32" s="16" t="str">
        <f t="shared" si="4"/>
        <v>55856.561</v>
      </c>
      <c r="H32" s="10">
        <f t="shared" si="5"/>
        <v>45618</v>
      </c>
      <c r="I32" s="57" t="s">
        <v>301</v>
      </c>
      <c r="J32" s="58" t="s">
        <v>302</v>
      </c>
      <c r="K32" s="57" t="s">
        <v>303</v>
      </c>
      <c r="L32" s="57" t="s">
        <v>114</v>
      </c>
      <c r="M32" s="58" t="s">
        <v>235</v>
      </c>
      <c r="N32" s="58" t="s">
        <v>304</v>
      </c>
      <c r="O32" s="59" t="s">
        <v>305</v>
      </c>
      <c r="P32" s="60" t="s">
        <v>306</v>
      </c>
    </row>
    <row r="33" spans="1:16" ht="12.75" customHeight="1" thickBot="1">
      <c r="A33" s="10" t="str">
        <f t="shared" si="0"/>
        <v>OEJV 0172 </v>
      </c>
      <c r="B33" s="19" t="str">
        <f t="shared" si="1"/>
        <v>I</v>
      </c>
      <c r="C33" s="10">
        <f t="shared" si="2"/>
        <v>57055.383999999998</v>
      </c>
      <c r="D33" s="16" t="str">
        <f t="shared" si="3"/>
        <v>CCD</v>
      </c>
      <c r="E33" s="56">
        <f>VLOOKUP(C33,Active!C$21:E$972,3,FALSE)</f>
        <v>47423.000523510469</v>
      </c>
      <c r="F33" s="19" t="str">
        <f>LEFT(M33,1)</f>
        <v>C</v>
      </c>
      <c r="G33" s="16" t="str">
        <f t="shared" si="4"/>
        <v>57055.384</v>
      </c>
      <c r="H33" s="10">
        <f t="shared" si="5"/>
        <v>47423</v>
      </c>
      <c r="I33" s="57" t="s">
        <v>336</v>
      </c>
      <c r="J33" s="58" t="s">
        <v>337</v>
      </c>
      <c r="K33" s="57" t="s">
        <v>338</v>
      </c>
      <c r="L33" s="57" t="s">
        <v>339</v>
      </c>
      <c r="M33" s="58" t="s">
        <v>235</v>
      </c>
      <c r="N33" s="58" t="s">
        <v>304</v>
      </c>
      <c r="O33" s="59" t="s">
        <v>305</v>
      </c>
      <c r="P33" s="60" t="s">
        <v>340</v>
      </c>
    </row>
    <row r="34" spans="1:16" ht="12.75" customHeight="1" thickBot="1">
      <c r="A34" s="10" t="str">
        <f t="shared" si="0"/>
        <v> AN 282.75 </v>
      </c>
      <c r="B34" s="19" t="str">
        <f t="shared" si="1"/>
        <v>I</v>
      </c>
      <c r="C34" s="10">
        <f t="shared" si="2"/>
        <v>25558.455999999998</v>
      </c>
      <c r="D34" s="16" t="str">
        <f t="shared" si="3"/>
        <v>vis</v>
      </c>
      <c r="E34" s="56">
        <f>VLOOKUP(C34,Active!C$21:E$972,3,FALSE)</f>
        <v>1.6562022287066245E-2</v>
      </c>
      <c r="F34" s="19" t="s">
        <v>72</v>
      </c>
      <c r="G34" s="16" t="str">
        <f t="shared" si="4"/>
        <v>25558.456</v>
      </c>
      <c r="H34" s="10">
        <f t="shared" si="5"/>
        <v>0</v>
      </c>
      <c r="I34" s="57" t="s">
        <v>75</v>
      </c>
      <c r="J34" s="58" t="s">
        <v>76</v>
      </c>
      <c r="K34" s="57">
        <v>0</v>
      </c>
      <c r="L34" s="57" t="s">
        <v>77</v>
      </c>
      <c r="M34" s="58" t="s">
        <v>78</v>
      </c>
      <c r="N34" s="58"/>
      <c r="O34" s="59" t="s">
        <v>79</v>
      </c>
      <c r="P34" s="59" t="s">
        <v>80</v>
      </c>
    </row>
    <row r="35" spans="1:16" ht="12.75" customHeight="1" thickBot="1">
      <c r="A35" s="10" t="str">
        <f t="shared" si="0"/>
        <v> MVS 3.200 </v>
      </c>
      <c r="B35" s="19" t="str">
        <f t="shared" si="1"/>
        <v>I</v>
      </c>
      <c r="C35" s="10">
        <f t="shared" si="2"/>
        <v>26224.603999999999</v>
      </c>
      <c r="D35" s="16" t="str">
        <f t="shared" si="3"/>
        <v>vis</v>
      </c>
      <c r="E35" s="56">
        <f>VLOOKUP(C35,Active!C$21:E$972,3,FALSE)</f>
        <v>1002.9945641937204</v>
      </c>
      <c r="F35" s="19" t="s">
        <v>72</v>
      </c>
      <c r="G35" s="16" t="str">
        <f t="shared" si="4"/>
        <v>26224.604</v>
      </c>
      <c r="H35" s="10">
        <f t="shared" si="5"/>
        <v>1003</v>
      </c>
      <c r="I35" s="57" t="s">
        <v>81</v>
      </c>
      <c r="J35" s="58" t="s">
        <v>82</v>
      </c>
      <c r="K35" s="57">
        <v>1003</v>
      </c>
      <c r="L35" s="57" t="s">
        <v>83</v>
      </c>
      <c r="M35" s="58" t="s">
        <v>78</v>
      </c>
      <c r="N35" s="58"/>
      <c r="O35" s="59" t="s">
        <v>84</v>
      </c>
      <c r="P35" s="59" t="s">
        <v>85</v>
      </c>
    </row>
    <row r="36" spans="1:16" ht="12.75" customHeight="1" thickBot="1">
      <c r="A36" s="10" t="str">
        <f t="shared" si="0"/>
        <v> AN 282.75 </v>
      </c>
      <c r="B36" s="19" t="str">
        <f t="shared" si="1"/>
        <v>I</v>
      </c>
      <c r="C36" s="10">
        <f t="shared" si="2"/>
        <v>27101.317999999999</v>
      </c>
      <c r="D36" s="16" t="str">
        <f t="shared" si="3"/>
        <v>vis</v>
      </c>
      <c r="E36" s="56">
        <f>VLOOKUP(C36,Active!C$21:E$972,3,FALSE)</f>
        <v>2323.0088195779963</v>
      </c>
      <c r="F36" s="19" t="s">
        <v>72</v>
      </c>
      <c r="G36" s="16" t="str">
        <f t="shared" si="4"/>
        <v>27101.318</v>
      </c>
      <c r="H36" s="10">
        <f t="shared" si="5"/>
        <v>2323</v>
      </c>
      <c r="I36" s="57" t="s">
        <v>86</v>
      </c>
      <c r="J36" s="58" t="s">
        <v>87</v>
      </c>
      <c r="K36" s="57">
        <v>2323</v>
      </c>
      <c r="L36" s="57" t="s">
        <v>88</v>
      </c>
      <c r="M36" s="58" t="s">
        <v>78</v>
      </c>
      <c r="N36" s="58"/>
      <c r="O36" s="59" t="s">
        <v>79</v>
      </c>
      <c r="P36" s="59" t="s">
        <v>80</v>
      </c>
    </row>
    <row r="37" spans="1:16" ht="12.75" customHeight="1" thickBot="1">
      <c r="A37" s="10" t="str">
        <f t="shared" si="0"/>
        <v> AN 282.75 </v>
      </c>
      <c r="B37" s="19" t="str">
        <f t="shared" si="1"/>
        <v>I</v>
      </c>
      <c r="C37" s="10">
        <f t="shared" si="2"/>
        <v>27421.437999999998</v>
      </c>
      <c r="D37" s="16" t="str">
        <f t="shared" si="3"/>
        <v>vis</v>
      </c>
      <c r="E37" s="56">
        <f>VLOOKUP(C37,Active!C$21:E$972,3,FALSE)</f>
        <v>2804.9937809606286</v>
      </c>
      <c r="F37" s="19" t="s">
        <v>72</v>
      </c>
      <c r="G37" s="16" t="str">
        <f t="shared" si="4"/>
        <v>27421.438</v>
      </c>
      <c r="H37" s="10">
        <f t="shared" si="5"/>
        <v>2805</v>
      </c>
      <c r="I37" s="57" t="s">
        <v>89</v>
      </c>
      <c r="J37" s="58" t="s">
        <v>90</v>
      </c>
      <c r="K37" s="57">
        <v>2805</v>
      </c>
      <c r="L37" s="57" t="s">
        <v>83</v>
      </c>
      <c r="M37" s="58" t="s">
        <v>78</v>
      </c>
      <c r="N37" s="58"/>
      <c r="O37" s="59" t="s">
        <v>79</v>
      </c>
      <c r="P37" s="59" t="s">
        <v>80</v>
      </c>
    </row>
    <row r="38" spans="1:16" ht="12.75" customHeight="1" thickBot="1">
      <c r="A38" s="10" t="str">
        <f t="shared" si="0"/>
        <v> MVS 3.200 </v>
      </c>
      <c r="B38" s="19" t="str">
        <f t="shared" si="1"/>
        <v>I</v>
      </c>
      <c r="C38" s="10">
        <f t="shared" si="2"/>
        <v>27471.254000000001</v>
      </c>
      <c r="D38" s="16" t="str">
        <f t="shared" si="3"/>
        <v>vis</v>
      </c>
      <c r="E38" s="56">
        <f>VLOOKUP(C38,Active!C$21:E$972,3,FALSE)</f>
        <v>2879.9986629931113</v>
      </c>
      <c r="F38" s="19" t="s">
        <v>72</v>
      </c>
      <c r="G38" s="16" t="str">
        <f t="shared" si="4"/>
        <v>27471.254</v>
      </c>
      <c r="H38" s="10">
        <f t="shared" si="5"/>
        <v>2880</v>
      </c>
      <c r="I38" s="57" t="s">
        <v>91</v>
      </c>
      <c r="J38" s="58" t="s">
        <v>92</v>
      </c>
      <c r="K38" s="57">
        <v>2880</v>
      </c>
      <c r="L38" s="57" t="s">
        <v>93</v>
      </c>
      <c r="M38" s="58" t="s">
        <v>78</v>
      </c>
      <c r="N38" s="58"/>
      <c r="O38" s="59" t="s">
        <v>84</v>
      </c>
      <c r="P38" s="59" t="s">
        <v>85</v>
      </c>
    </row>
    <row r="39" spans="1:16" ht="12.75" customHeight="1" thickBot="1">
      <c r="A39" s="10" t="str">
        <f t="shared" si="0"/>
        <v> MVS 3.200 </v>
      </c>
      <c r="B39" s="19" t="str">
        <f t="shared" si="1"/>
        <v>I</v>
      </c>
      <c r="C39" s="10">
        <f t="shared" si="2"/>
        <v>30378.322</v>
      </c>
      <c r="D39" s="16" t="str">
        <f t="shared" si="3"/>
        <v>vis</v>
      </c>
      <c r="E39" s="56">
        <f>VLOOKUP(C39,Active!C$21:E$972,3,FALSE)</f>
        <v>7256.9918459141727</v>
      </c>
      <c r="F39" s="19" t="s">
        <v>72</v>
      </c>
      <c r="G39" s="16" t="str">
        <f t="shared" si="4"/>
        <v>30378.322</v>
      </c>
      <c r="H39" s="10">
        <f t="shared" si="5"/>
        <v>7257</v>
      </c>
      <c r="I39" s="57" t="s">
        <v>94</v>
      </c>
      <c r="J39" s="58" t="s">
        <v>95</v>
      </c>
      <c r="K39" s="57">
        <v>7257</v>
      </c>
      <c r="L39" s="57" t="s">
        <v>96</v>
      </c>
      <c r="M39" s="58" t="s">
        <v>78</v>
      </c>
      <c r="N39" s="58"/>
      <c r="O39" s="59" t="s">
        <v>84</v>
      </c>
      <c r="P39" s="59" t="s">
        <v>85</v>
      </c>
    </row>
    <row r="40" spans="1:16" ht="12.75" customHeight="1" thickBot="1">
      <c r="A40" s="10" t="str">
        <f t="shared" si="0"/>
        <v> MVS 3.200 </v>
      </c>
      <c r="B40" s="19" t="str">
        <f t="shared" si="1"/>
        <v>I</v>
      </c>
      <c r="C40" s="10">
        <f t="shared" si="2"/>
        <v>30730.35</v>
      </c>
      <c r="D40" s="16" t="str">
        <f t="shared" si="3"/>
        <v>vis</v>
      </c>
      <c r="E40" s="56">
        <f>VLOOKUP(C40,Active!C$21:E$972,3,FALSE)</f>
        <v>7787.0187170425152</v>
      </c>
      <c r="F40" s="19" t="s">
        <v>72</v>
      </c>
      <c r="G40" s="16" t="str">
        <f t="shared" si="4"/>
        <v>30730.350</v>
      </c>
      <c r="H40" s="10">
        <f t="shared" si="5"/>
        <v>7787</v>
      </c>
      <c r="I40" s="57" t="s">
        <v>97</v>
      </c>
      <c r="J40" s="58" t="s">
        <v>98</v>
      </c>
      <c r="K40" s="57">
        <v>7787</v>
      </c>
      <c r="L40" s="57" t="s">
        <v>99</v>
      </c>
      <c r="M40" s="58" t="s">
        <v>78</v>
      </c>
      <c r="N40" s="58"/>
      <c r="O40" s="59" t="s">
        <v>84</v>
      </c>
      <c r="P40" s="59" t="s">
        <v>85</v>
      </c>
    </row>
    <row r="41" spans="1:16" ht="12.75" customHeight="1" thickBot="1">
      <c r="A41" s="10" t="str">
        <f t="shared" si="0"/>
        <v> MVS 3.200 </v>
      </c>
      <c r="B41" s="19" t="str">
        <f t="shared" si="1"/>
        <v>II</v>
      </c>
      <c r="C41" s="10">
        <f t="shared" si="2"/>
        <v>32795.574999999997</v>
      </c>
      <c r="D41" s="16" t="str">
        <f t="shared" si="3"/>
        <v>vis</v>
      </c>
      <c r="E41" s="56">
        <f>VLOOKUP(C41,Active!C$21:E$972,3,FALSE)</f>
        <v>10896.500760874356</v>
      </c>
      <c r="F41" s="19" t="s">
        <v>72</v>
      </c>
      <c r="G41" s="16" t="str">
        <f t="shared" si="4"/>
        <v>32795.575</v>
      </c>
      <c r="H41" s="10">
        <f t="shared" si="5"/>
        <v>10896.5</v>
      </c>
      <c r="I41" s="57" t="s">
        <v>100</v>
      </c>
      <c r="J41" s="58" t="s">
        <v>101</v>
      </c>
      <c r="K41" s="57">
        <v>10896.5</v>
      </c>
      <c r="L41" s="57" t="s">
        <v>102</v>
      </c>
      <c r="M41" s="58" t="s">
        <v>78</v>
      </c>
      <c r="N41" s="58"/>
      <c r="O41" s="59" t="s">
        <v>84</v>
      </c>
      <c r="P41" s="59" t="s">
        <v>85</v>
      </c>
    </row>
    <row r="42" spans="1:16" ht="12.75" customHeight="1" thickBot="1">
      <c r="A42" s="10" t="str">
        <f t="shared" si="0"/>
        <v> MVS 3.200 </v>
      </c>
      <c r="B42" s="19" t="str">
        <f t="shared" si="1"/>
        <v>I</v>
      </c>
      <c r="C42" s="10">
        <f t="shared" si="2"/>
        <v>33154.557999999997</v>
      </c>
      <c r="D42" s="16" t="str">
        <f t="shared" si="3"/>
        <v>vis</v>
      </c>
      <c r="E42" s="56">
        <f>VLOOKUP(C42,Active!C$21:E$972,3,FALSE)</f>
        <v>11436.999347004627</v>
      </c>
      <c r="F42" s="19" t="s">
        <v>72</v>
      </c>
      <c r="G42" s="16" t="str">
        <f t="shared" si="4"/>
        <v>33154.558</v>
      </c>
      <c r="H42" s="10">
        <f t="shared" si="5"/>
        <v>11437</v>
      </c>
      <c r="I42" s="57" t="s">
        <v>103</v>
      </c>
      <c r="J42" s="58" t="s">
        <v>104</v>
      </c>
      <c r="K42" s="57">
        <v>11437</v>
      </c>
      <c r="L42" s="57" t="s">
        <v>105</v>
      </c>
      <c r="M42" s="58" t="s">
        <v>78</v>
      </c>
      <c r="N42" s="58"/>
      <c r="O42" s="59" t="s">
        <v>84</v>
      </c>
      <c r="P42" s="59" t="s">
        <v>85</v>
      </c>
    </row>
    <row r="43" spans="1:16" ht="12.75" customHeight="1" thickBot="1">
      <c r="A43" s="10" t="str">
        <f t="shared" ref="A43:A74" si="6">P43</f>
        <v> MVS 3.200 </v>
      </c>
      <c r="B43" s="19" t="str">
        <f t="shared" ref="B43:B74" si="7">IF(H43=INT(H43),"I","II")</f>
        <v>I</v>
      </c>
      <c r="C43" s="10">
        <f t="shared" ref="C43:C74" si="8">1*G43</f>
        <v>34665.546999999999</v>
      </c>
      <c r="D43" s="16" t="str">
        <f t="shared" ref="D43:D74" si="9">VLOOKUP(F43,I$1:J$5,2,FALSE)</f>
        <v>vis</v>
      </c>
      <c r="E43" s="56">
        <f>VLOOKUP(C43,Active!C$21:E$972,3,FALSE)</f>
        <v>13712.002392158272</v>
      </c>
      <c r="F43" s="19" t="s">
        <v>72</v>
      </c>
      <c r="G43" s="16" t="str">
        <f t="shared" ref="G43:G74" si="10">MID(I43,3,LEN(I43)-3)</f>
        <v>34665.547</v>
      </c>
      <c r="H43" s="10">
        <f t="shared" ref="H43:H74" si="11">1*K43</f>
        <v>13712</v>
      </c>
      <c r="I43" s="57" t="s">
        <v>106</v>
      </c>
      <c r="J43" s="58" t="s">
        <v>107</v>
      </c>
      <c r="K43" s="57">
        <v>13712</v>
      </c>
      <c r="L43" s="57" t="s">
        <v>108</v>
      </c>
      <c r="M43" s="58" t="s">
        <v>78</v>
      </c>
      <c r="N43" s="58"/>
      <c r="O43" s="59" t="s">
        <v>84</v>
      </c>
      <c r="P43" s="59" t="s">
        <v>85</v>
      </c>
    </row>
    <row r="44" spans="1:16" ht="12.75" customHeight="1" thickBot="1">
      <c r="A44" s="10" t="str">
        <f t="shared" si="6"/>
        <v> MVS 3.200 </v>
      </c>
      <c r="B44" s="19" t="str">
        <f t="shared" si="7"/>
        <v>I</v>
      </c>
      <c r="C44" s="10">
        <f t="shared" si="8"/>
        <v>34709.408000000003</v>
      </c>
      <c r="D44" s="16" t="str">
        <f t="shared" si="9"/>
        <v>vis</v>
      </c>
      <c r="E44" s="56">
        <f>VLOOKUP(C44,Active!C$21:E$972,3,FALSE)</f>
        <v>13778.041197578757</v>
      </c>
      <c r="F44" s="19" t="s">
        <v>72</v>
      </c>
      <c r="G44" s="16" t="str">
        <f t="shared" si="10"/>
        <v>34709.408</v>
      </c>
      <c r="H44" s="10">
        <f t="shared" si="11"/>
        <v>13778</v>
      </c>
      <c r="I44" s="57" t="s">
        <v>109</v>
      </c>
      <c r="J44" s="58" t="s">
        <v>110</v>
      </c>
      <c r="K44" s="57">
        <v>13778</v>
      </c>
      <c r="L44" s="57" t="s">
        <v>111</v>
      </c>
      <c r="M44" s="58" t="s">
        <v>78</v>
      </c>
      <c r="N44" s="58"/>
      <c r="O44" s="59" t="s">
        <v>84</v>
      </c>
      <c r="P44" s="59" t="s">
        <v>85</v>
      </c>
    </row>
    <row r="45" spans="1:16" ht="12.75" customHeight="1" thickBot="1">
      <c r="A45" s="10" t="str">
        <f t="shared" si="6"/>
        <v> MVS 3.200 </v>
      </c>
      <c r="B45" s="19" t="str">
        <f t="shared" si="7"/>
        <v>I</v>
      </c>
      <c r="C45" s="10">
        <f t="shared" si="8"/>
        <v>35721.58</v>
      </c>
      <c r="D45" s="16" t="str">
        <f t="shared" si="9"/>
        <v>vis</v>
      </c>
      <c r="E45" s="56">
        <f>VLOOKUP(C45,Active!C$21:E$972,3,FALSE)</f>
        <v>15302.006217985427</v>
      </c>
      <c r="F45" s="19" t="s">
        <v>72</v>
      </c>
      <c r="G45" s="16" t="str">
        <f t="shared" si="10"/>
        <v>35721.580</v>
      </c>
      <c r="H45" s="10">
        <f t="shared" si="11"/>
        <v>15302</v>
      </c>
      <c r="I45" s="57" t="s">
        <v>112</v>
      </c>
      <c r="J45" s="58" t="s">
        <v>113</v>
      </c>
      <c r="K45" s="57">
        <v>15302</v>
      </c>
      <c r="L45" s="57" t="s">
        <v>114</v>
      </c>
      <c r="M45" s="58" t="s">
        <v>78</v>
      </c>
      <c r="N45" s="58"/>
      <c r="O45" s="59" t="s">
        <v>84</v>
      </c>
      <c r="P45" s="59" t="s">
        <v>85</v>
      </c>
    </row>
    <row r="46" spans="1:16" ht="12.75" customHeight="1" thickBot="1">
      <c r="A46" s="10" t="str">
        <f t="shared" si="6"/>
        <v> MVS 3.200 </v>
      </c>
      <c r="B46" s="19" t="str">
        <f t="shared" si="7"/>
        <v>I</v>
      </c>
      <c r="C46" s="10">
        <f t="shared" si="8"/>
        <v>35892.281999999999</v>
      </c>
      <c r="D46" s="16" t="str">
        <f t="shared" si="9"/>
        <v>vis</v>
      </c>
      <c r="E46" s="56">
        <f>VLOOKUP(C46,Active!C$21:E$972,3,FALSE)</f>
        <v>15559.021702422317</v>
      </c>
      <c r="F46" s="19" t="s">
        <v>72</v>
      </c>
      <c r="G46" s="16" t="str">
        <f t="shared" si="10"/>
        <v>35892.282</v>
      </c>
      <c r="H46" s="10">
        <f t="shared" si="11"/>
        <v>15559</v>
      </c>
      <c r="I46" s="57" t="s">
        <v>115</v>
      </c>
      <c r="J46" s="58" t="s">
        <v>116</v>
      </c>
      <c r="K46" s="57">
        <v>15559</v>
      </c>
      <c r="L46" s="57" t="s">
        <v>117</v>
      </c>
      <c r="M46" s="58" t="s">
        <v>78</v>
      </c>
      <c r="N46" s="58"/>
      <c r="O46" s="59" t="s">
        <v>84</v>
      </c>
      <c r="P46" s="59" t="s">
        <v>85</v>
      </c>
    </row>
    <row r="47" spans="1:16" ht="12.75" customHeight="1" thickBot="1">
      <c r="A47" s="10" t="str">
        <f t="shared" si="6"/>
        <v> MVS 3.200 </v>
      </c>
      <c r="B47" s="19" t="str">
        <f t="shared" si="7"/>
        <v>I</v>
      </c>
      <c r="C47" s="10">
        <f t="shared" si="8"/>
        <v>36085.578000000001</v>
      </c>
      <c r="D47" s="16" t="str">
        <f t="shared" si="9"/>
        <v>vis</v>
      </c>
      <c r="E47" s="56">
        <f>VLOOKUP(C47,Active!C$21:E$972,3,FALSE)</f>
        <v>15850.055580641167</v>
      </c>
      <c r="F47" s="19" t="s">
        <v>72</v>
      </c>
      <c r="G47" s="16" t="str">
        <f t="shared" si="10"/>
        <v>36085.578</v>
      </c>
      <c r="H47" s="10">
        <f t="shared" si="11"/>
        <v>15850</v>
      </c>
      <c r="I47" s="57" t="s">
        <v>118</v>
      </c>
      <c r="J47" s="58" t="s">
        <v>119</v>
      </c>
      <c r="K47" s="57">
        <v>15850</v>
      </c>
      <c r="L47" s="57" t="s">
        <v>120</v>
      </c>
      <c r="M47" s="58" t="s">
        <v>78</v>
      </c>
      <c r="N47" s="58"/>
      <c r="O47" s="59" t="s">
        <v>84</v>
      </c>
      <c r="P47" s="59" t="s">
        <v>85</v>
      </c>
    </row>
    <row r="48" spans="1:16" ht="12.75" customHeight="1" thickBot="1">
      <c r="A48" s="10" t="str">
        <f t="shared" si="6"/>
        <v> MVS 3.200 </v>
      </c>
      <c r="B48" s="19" t="str">
        <f t="shared" si="7"/>
        <v>I</v>
      </c>
      <c r="C48" s="10">
        <f t="shared" si="8"/>
        <v>36904.451999999997</v>
      </c>
      <c r="D48" s="16" t="str">
        <f t="shared" si="9"/>
        <v>vis</v>
      </c>
      <c r="E48" s="56">
        <f>VLOOKUP(C48,Active!C$21:E$972,3,FALSE)</f>
        <v>17082.983711552202</v>
      </c>
      <c r="F48" s="19" t="s">
        <v>72</v>
      </c>
      <c r="G48" s="16" t="str">
        <f t="shared" si="10"/>
        <v>36904.452</v>
      </c>
      <c r="H48" s="10">
        <f t="shared" si="11"/>
        <v>17083</v>
      </c>
      <c r="I48" s="57" t="s">
        <v>121</v>
      </c>
      <c r="J48" s="58" t="s">
        <v>122</v>
      </c>
      <c r="K48" s="57">
        <v>17083</v>
      </c>
      <c r="L48" s="57" t="s">
        <v>123</v>
      </c>
      <c r="M48" s="58" t="s">
        <v>78</v>
      </c>
      <c r="N48" s="58"/>
      <c r="O48" s="59" t="s">
        <v>84</v>
      </c>
      <c r="P48" s="59" t="s">
        <v>85</v>
      </c>
    </row>
    <row r="49" spans="1:16" ht="12.75" customHeight="1" thickBot="1">
      <c r="A49" s="10" t="str">
        <f t="shared" si="6"/>
        <v> MVS 3.200 </v>
      </c>
      <c r="B49" s="19" t="str">
        <f t="shared" si="7"/>
        <v>II</v>
      </c>
      <c r="C49" s="10">
        <f t="shared" si="8"/>
        <v>37235.548999999999</v>
      </c>
      <c r="D49" s="16" t="str">
        <f t="shared" si="9"/>
        <v>vis</v>
      </c>
      <c r="E49" s="56">
        <f>VLOOKUP(C49,Active!C$21:E$972,3,FALSE)</f>
        <v>17581.49606554104</v>
      </c>
      <c r="F49" s="19" t="s">
        <v>72</v>
      </c>
      <c r="G49" s="16" t="str">
        <f t="shared" si="10"/>
        <v>37235.549</v>
      </c>
      <c r="H49" s="10">
        <f t="shared" si="11"/>
        <v>17581.5</v>
      </c>
      <c r="I49" s="57" t="s">
        <v>124</v>
      </c>
      <c r="J49" s="58" t="s">
        <v>125</v>
      </c>
      <c r="K49" s="57">
        <v>17581.5</v>
      </c>
      <c r="L49" s="57" t="s">
        <v>74</v>
      </c>
      <c r="M49" s="58" t="s">
        <v>78</v>
      </c>
      <c r="N49" s="58"/>
      <c r="O49" s="59" t="s">
        <v>84</v>
      </c>
      <c r="P49" s="59" t="s">
        <v>85</v>
      </c>
    </row>
    <row r="50" spans="1:16" ht="12.75" customHeight="1" thickBot="1">
      <c r="A50" s="10" t="str">
        <f t="shared" si="6"/>
        <v> MVS 3.200 </v>
      </c>
      <c r="B50" s="19" t="str">
        <f t="shared" si="7"/>
        <v>I</v>
      </c>
      <c r="C50" s="10">
        <f t="shared" si="8"/>
        <v>37584.578000000001</v>
      </c>
      <c r="D50" s="16" t="str">
        <f t="shared" si="9"/>
        <v>vis</v>
      </c>
      <c r="E50" s="56">
        <f>VLOOKUP(C50,Active!C$21:E$972,3,FALSE)</f>
        <v>18107.007527138005</v>
      </c>
      <c r="F50" s="19" t="s">
        <v>72</v>
      </c>
      <c r="G50" s="16" t="str">
        <f t="shared" si="10"/>
        <v>37584.578</v>
      </c>
      <c r="H50" s="10">
        <f t="shared" si="11"/>
        <v>18107</v>
      </c>
      <c r="I50" s="57" t="s">
        <v>126</v>
      </c>
      <c r="J50" s="58" t="s">
        <v>127</v>
      </c>
      <c r="K50" s="57">
        <v>18107</v>
      </c>
      <c r="L50" s="57" t="s">
        <v>128</v>
      </c>
      <c r="M50" s="58" t="s">
        <v>78</v>
      </c>
      <c r="N50" s="58"/>
      <c r="O50" s="59" t="s">
        <v>84</v>
      </c>
      <c r="P50" s="59" t="s">
        <v>85</v>
      </c>
    </row>
    <row r="51" spans="1:16" ht="12.75" customHeight="1" thickBot="1">
      <c r="A51" s="10" t="str">
        <f t="shared" si="6"/>
        <v> MVS 3.200 </v>
      </c>
      <c r="B51" s="19" t="str">
        <f t="shared" si="7"/>
        <v>I</v>
      </c>
      <c r="C51" s="10">
        <f t="shared" si="8"/>
        <v>37942.565000000002</v>
      </c>
      <c r="D51" s="16" t="str">
        <f t="shared" si="9"/>
        <v>vis</v>
      </c>
      <c r="E51" s="56">
        <f>VLOOKUP(C51,Active!C$21:E$972,3,FALSE)</f>
        <v>18646.006497431914</v>
      </c>
      <c r="F51" s="19" t="s">
        <v>72</v>
      </c>
      <c r="G51" s="16" t="str">
        <f t="shared" si="10"/>
        <v>37942.565</v>
      </c>
      <c r="H51" s="10">
        <f t="shared" si="11"/>
        <v>18646</v>
      </c>
      <c r="I51" s="57" t="s">
        <v>129</v>
      </c>
      <c r="J51" s="58" t="s">
        <v>130</v>
      </c>
      <c r="K51" s="57">
        <v>18646</v>
      </c>
      <c r="L51" s="57" t="s">
        <v>114</v>
      </c>
      <c r="M51" s="58" t="s">
        <v>78</v>
      </c>
      <c r="N51" s="58"/>
      <c r="O51" s="59" t="s">
        <v>84</v>
      </c>
      <c r="P51" s="59" t="s">
        <v>85</v>
      </c>
    </row>
    <row r="52" spans="1:16" ht="12.75" customHeight="1" thickBot="1">
      <c r="A52" s="10" t="str">
        <f t="shared" si="6"/>
        <v> MVS 3.200 </v>
      </c>
      <c r="B52" s="19" t="str">
        <f t="shared" si="7"/>
        <v>I</v>
      </c>
      <c r="C52" s="10">
        <f t="shared" si="8"/>
        <v>37992.374000000003</v>
      </c>
      <c r="D52" s="16" t="str">
        <f t="shared" si="9"/>
        <v>vis</v>
      </c>
      <c r="E52" s="56">
        <f>VLOOKUP(C52,Active!C$21:E$972,3,FALSE)</f>
        <v>18721.000839995664</v>
      </c>
      <c r="F52" s="19" t="s">
        <v>72</v>
      </c>
      <c r="G52" s="16" t="str">
        <f t="shared" si="10"/>
        <v>37992.374</v>
      </c>
      <c r="H52" s="10">
        <f t="shared" si="11"/>
        <v>18721</v>
      </c>
      <c r="I52" s="57" t="s">
        <v>131</v>
      </c>
      <c r="J52" s="58" t="s">
        <v>132</v>
      </c>
      <c r="K52" s="57">
        <v>18721</v>
      </c>
      <c r="L52" s="57" t="s">
        <v>102</v>
      </c>
      <c r="M52" s="58" t="s">
        <v>78</v>
      </c>
      <c r="N52" s="58"/>
      <c r="O52" s="59" t="s">
        <v>84</v>
      </c>
      <c r="P52" s="59" t="s">
        <v>85</v>
      </c>
    </row>
    <row r="53" spans="1:16" ht="12.75" customHeight="1" thickBot="1">
      <c r="A53" s="10" t="str">
        <f t="shared" si="6"/>
        <v> MVS 3.200 </v>
      </c>
      <c r="B53" s="19" t="str">
        <f t="shared" si="7"/>
        <v>I</v>
      </c>
      <c r="C53" s="10">
        <f t="shared" si="8"/>
        <v>38328.438000000002</v>
      </c>
      <c r="D53" s="16" t="str">
        <f t="shared" si="9"/>
        <v>vis</v>
      </c>
      <c r="E53" s="56">
        <f>VLOOKUP(C53,Active!C$21:E$972,3,FALSE)</f>
        <v>19226.991699867252</v>
      </c>
      <c r="F53" s="19" t="s">
        <v>72</v>
      </c>
      <c r="G53" s="16" t="str">
        <f t="shared" si="10"/>
        <v>38328.438</v>
      </c>
      <c r="H53" s="10">
        <f t="shared" si="11"/>
        <v>19227</v>
      </c>
      <c r="I53" s="57" t="s">
        <v>133</v>
      </c>
      <c r="J53" s="58" t="s">
        <v>134</v>
      </c>
      <c r="K53" s="57">
        <v>19227</v>
      </c>
      <c r="L53" s="57" t="s">
        <v>135</v>
      </c>
      <c r="M53" s="58" t="s">
        <v>78</v>
      </c>
      <c r="N53" s="58"/>
      <c r="O53" s="59" t="s">
        <v>84</v>
      </c>
      <c r="P53" s="59" t="s">
        <v>85</v>
      </c>
    </row>
    <row r="54" spans="1:16" ht="12.75" customHeight="1" thickBot="1">
      <c r="A54" s="10" t="str">
        <f t="shared" si="6"/>
        <v> MVS 3.200 </v>
      </c>
      <c r="B54" s="19" t="str">
        <f t="shared" si="7"/>
        <v>I</v>
      </c>
      <c r="C54" s="10">
        <f t="shared" si="8"/>
        <v>38439.381000000001</v>
      </c>
      <c r="D54" s="16" t="str">
        <f t="shared" si="9"/>
        <v>vis</v>
      </c>
      <c r="E54" s="56">
        <f>VLOOKUP(C54,Active!C$21:E$972,3,FALSE)</f>
        <v>19394.031739760645</v>
      </c>
      <c r="F54" s="19" t="s">
        <v>72</v>
      </c>
      <c r="G54" s="16" t="str">
        <f t="shared" si="10"/>
        <v>38439.381</v>
      </c>
      <c r="H54" s="10">
        <f t="shared" si="11"/>
        <v>19394</v>
      </c>
      <c r="I54" s="57" t="s">
        <v>136</v>
      </c>
      <c r="J54" s="58" t="s">
        <v>137</v>
      </c>
      <c r="K54" s="57">
        <v>19394</v>
      </c>
      <c r="L54" s="57" t="s">
        <v>138</v>
      </c>
      <c r="M54" s="58" t="s">
        <v>78</v>
      </c>
      <c r="N54" s="58"/>
      <c r="O54" s="59" t="s">
        <v>84</v>
      </c>
      <c r="P54" s="59" t="s">
        <v>85</v>
      </c>
    </row>
    <row r="55" spans="1:16" ht="12.75" customHeight="1" thickBot="1">
      <c r="A55" s="10" t="str">
        <f t="shared" si="6"/>
        <v> MVS 3.200 </v>
      </c>
      <c r="B55" s="19" t="str">
        <f t="shared" si="7"/>
        <v>I</v>
      </c>
      <c r="C55" s="10">
        <f t="shared" si="8"/>
        <v>38441.35</v>
      </c>
      <c r="D55" s="16" t="str">
        <f t="shared" si="9"/>
        <v>vis</v>
      </c>
      <c r="E55" s="56">
        <f>VLOOKUP(C55,Active!C$21:E$972,3,FALSE)</f>
        <v>19396.996341750404</v>
      </c>
      <c r="F55" s="19" t="s">
        <v>72</v>
      </c>
      <c r="G55" s="16" t="str">
        <f t="shared" si="10"/>
        <v>38441.350</v>
      </c>
      <c r="H55" s="10">
        <f t="shared" si="11"/>
        <v>19397</v>
      </c>
      <c r="I55" s="57" t="s">
        <v>139</v>
      </c>
      <c r="J55" s="58" t="s">
        <v>140</v>
      </c>
      <c r="K55" s="57">
        <v>19397</v>
      </c>
      <c r="L55" s="57" t="s">
        <v>141</v>
      </c>
      <c r="M55" s="58" t="s">
        <v>78</v>
      </c>
      <c r="N55" s="58"/>
      <c r="O55" s="59" t="s">
        <v>84</v>
      </c>
      <c r="P55" s="59" t="s">
        <v>85</v>
      </c>
    </row>
    <row r="56" spans="1:16" ht="12.75" customHeight="1" thickBot="1">
      <c r="A56" s="10" t="str">
        <f t="shared" si="6"/>
        <v> MVS 3.200 </v>
      </c>
      <c r="B56" s="19" t="str">
        <f t="shared" si="7"/>
        <v>II</v>
      </c>
      <c r="C56" s="10">
        <f t="shared" si="8"/>
        <v>38462.298999999999</v>
      </c>
      <c r="D56" s="16" t="str">
        <f t="shared" si="9"/>
        <v>vis</v>
      </c>
      <c r="E56" s="56">
        <f>VLOOKUP(C56,Active!C$21:E$972,3,FALSE)</f>
        <v>19428.537960380931</v>
      </c>
      <c r="F56" s="19" t="s">
        <v>72</v>
      </c>
      <c r="G56" s="16" t="str">
        <f t="shared" si="10"/>
        <v>38462.299</v>
      </c>
      <c r="H56" s="10">
        <f t="shared" si="11"/>
        <v>19428.5</v>
      </c>
      <c r="I56" s="57" t="s">
        <v>142</v>
      </c>
      <c r="J56" s="58" t="s">
        <v>143</v>
      </c>
      <c r="K56" s="57">
        <v>19428.5</v>
      </c>
      <c r="L56" s="57" t="s">
        <v>144</v>
      </c>
      <c r="M56" s="58" t="s">
        <v>78</v>
      </c>
      <c r="N56" s="58"/>
      <c r="O56" s="59" t="s">
        <v>84</v>
      </c>
      <c r="P56" s="59" t="s">
        <v>85</v>
      </c>
    </row>
    <row r="57" spans="1:16" ht="12.75" customHeight="1" thickBot="1">
      <c r="A57" s="10" t="str">
        <f t="shared" si="6"/>
        <v>IBVS 1919 </v>
      </c>
      <c r="B57" s="19" t="str">
        <f t="shared" si="7"/>
        <v>II</v>
      </c>
      <c r="C57" s="10">
        <f t="shared" si="8"/>
        <v>42835.171999999999</v>
      </c>
      <c r="D57" s="16" t="str">
        <f t="shared" si="9"/>
        <v>vis</v>
      </c>
      <c r="E57" s="56">
        <f>VLOOKUP(C57,Active!C$21:E$972,3,FALSE)</f>
        <v>26012.503423445287</v>
      </c>
      <c r="F57" s="19" t="s">
        <v>72</v>
      </c>
      <c r="G57" s="16" t="str">
        <f t="shared" si="10"/>
        <v>42835.172</v>
      </c>
      <c r="H57" s="10">
        <f t="shared" si="11"/>
        <v>26012.5</v>
      </c>
      <c r="I57" s="57" t="s">
        <v>158</v>
      </c>
      <c r="J57" s="58" t="s">
        <v>159</v>
      </c>
      <c r="K57" s="57">
        <v>26012.5</v>
      </c>
      <c r="L57" s="57" t="s">
        <v>108</v>
      </c>
      <c r="M57" s="58" t="s">
        <v>160</v>
      </c>
      <c r="N57" s="58" t="s">
        <v>161</v>
      </c>
      <c r="O57" s="59" t="s">
        <v>162</v>
      </c>
      <c r="P57" s="60" t="s">
        <v>163</v>
      </c>
    </row>
    <row r="58" spans="1:16" ht="12.75" customHeight="1" thickBot="1">
      <c r="A58" s="10" t="str">
        <f t="shared" si="6"/>
        <v>IBVS 1919 </v>
      </c>
      <c r="B58" s="19" t="str">
        <f t="shared" si="7"/>
        <v>I</v>
      </c>
      <c r="C58" s="10">
        <f t="shared" si="8"/>
        <v>42836.163999999997</v>
      </c>
      <c r="D58" s="16" t="str">
        <f t="shared" si="9"/>
        <v>vis</v>
      </c>
      <c r="E58" s="56">
        <f>VLOOKUP(C58,Active!C$21:E$972,3,FALSE)</f>
        <v>26013.997016728092</v>
      </c>
      <c r="F58" s="19" t="s">
        <v>72</v>
      </c>
      <c r="G58" s="16" t="str">
        <f t="shared" si="10"/>
        <v>42836.164</v>
      </c>
      <c r="H58" s="10">
        <f t="shared" si="11"/>
        <v>26014</v>
      </c>
      <c r="I58" s="57" t="s">
        <v>164</v>
      </c>
      <c r="J58" s="58" t="s">
        <v>165</v>
      </c>
      <c r="K58" s="57">
        <v>26014</v>
      </c>
      <c r="L58" s="57" t="s">
        <v>141</v>
      </c>
      <c r="M58" s="58" t="s">
        <v>160</v>
      </c>
      <c r="N58" s="58" t="s">
        <v>161</v>
      </c>
      <c r="O58" s="59" t="s">
        <v>162</v>
      </c>
      <c r="P58" s="60" t="s">
        <v>163</v>
      </c>
    </row>
    <row r="59" spans="1:16" ht="12.75" customHeight="1" thickBot="1">
      <c r="A59" s="10" t="str">
        <f t="shared" si="6"/>
        <v>IBVS 1919 </v>
      </c>
      <c r="B59" s="19" t="str">
        <f t="shared" si="7"/>
        <v>I</v>
      </c>
      <c r="C59" s="10">
        <f t="shared" si="8"/>
        <v>42840.154999999999</v>
      </c>
      <c r="D59" s="16" t="str">
        <f t="shared" si="9"/>
        <v>vis</v>
      </c>
      <c r="E59" s="56">
        <f>VLOOKUP(C59,Active!C$21:E$972,3,FALSE)</f>
        <v>26020.006019542281</v>
      </c>
      <c r="F59" s="19" t="s">
        <v>72</v>
      </c>
      <c r="G59" s="16" t="str">
        <f t="shared" si="10"/>
        <v>42840.155</v>
      </c>
      <c r="H59" s="10">
        <f t="shared" si="11"/>
        <v>26020</v>
      </c>
      <c r="I59" s="57" t="s">
        <v>166</v>
      </c>
      <c r="J59" s="58" t="s">
        <v>167</v>
      </c>
      <c r="K59" s="57">
        <v>26020</v>
      </c>
      <c r="L59" s="57" t="s">
        <v>114</v>
      </c>
      <c r="M59" s="58" t="s">
        <v>160</v>
      </c>
      <c r="N59" s="58" t="s">
        <v>161</v>
      </c>
      <c r="O59" s="59" t="s">
        <v>162</v>
      </c>
      <c r="P59" s="60" t="s">
        <v>163</v>
      </c>
    </row>
    <row r="60" spans="1:16" ht="12.75" customHeight="1" thickBot="1">
      <c r="A60" s="10" t="str">
        <f t="shared" si="6"/>
        <v> ASS 126.108 </v>
      </c>
      <c r="B60" s="19" t="str">
        <f t="shared" si="7"/>
        <v>II</v>
      </c>
      <c r="C60" s="10">
        <f t="shared" si="8"/>
        <v>44581.297200000001</v>
      </c>
      <c r="D60" s="16" t="str">
        <f t="shared" si="9"/>
        <v>vis</v>
      </c>
      <c r="E60" s="56">
        <f>VLOOKUP(C60,Active!C$21:E$972,3,FALSE)</f>
        <v>28641.536558179901</v>
      </c>
      <c r="F60" s="19" t="s">
        <v>72</v>
      </c>
      <c r="G60" s="16" t="str">
        <f t="shared" si="10"/>
        <v>44581.2972</v>
      </c>
      <c r="H60" s="10">
        <f t="shared" si="11"/>
        <v>28641.5</v>
      </c>
      <c r="I60" s="57" t="s">
        <v>173</v>
      </c>
      <c r="J60" s="58" t="s">
        <v>174</v>
      </c>
      <c r="K60" s="57">
        <v>28641.5</v>
      </c>
      <c r="L60" s="57" t="s">
        <v>175</v>
      </c>
      <c r="M60" s="58" t="s">
        <v>160</v>
      </c>
      <c r="N60" s="58" t="s">
        <v>161</v>
      </c>
      <c r="O60" s="59" t="s">
        <v>176</v>
      </c>
      <c r="P60" s="59" t="s">
        <v>177</v>
      </c>
    </row>
    <row r="61" spans="1:16" ht="12.75" customHeight="1" thickBot="1">
      <c r="A61" s="10" t="str">
        <f t="shared" si="6"/>
        <v> ASS 126.108 </v>
      </c>
      <c r="B61" s="19" t="str">
        <f t="shared" si="7"/>
        <v>I</v>
      </c>
      <c r="C61" s="10">
        <f t="shared" si="8"/>
        <v>44590.244899999998</v>
      </c>
      <c r="D61" s="16" t="str">
        <f t="shared" si="9"/>
        <v>vis</v>
      </c>
      <c r="E61" s="56">
        <f>VLOOKUP(C61,Active!C$21:E$972,3,FALSE)</f>
        <v>28655.008558801426</v>
      </c>
      <c r="F61" s="19" t="s">
        <v>72</v>
      </c>
      <c r="G61" s="16" t="str">
        <f t="shared" si="10"/>
        <v>44590.2449</v>
      </c>
      <c r="H61" s="10">
        <f t="shared" si="11"/>
        <v>28655</v>
      </c>
      <c r="I61" s="57" t="s">
        <v>178</v>
      </c>
      <c r="J61" s="58" t="s">
        <v>179</v>
      </c>
      <c r="K61" s="57">
        <v>28655</v>
      </c>
      <c r="L61" s="57" t="s">
        <v>180</v>
      </c>
      <c r="M61" s="58" t="s">
        <v>160</v>
      </c>
      <c r="N61" s="58" t="s">
        <v>161</v>
      </c>
      <c r="O61" s="59" t="s">
        <v>176</v>
      </c>
      <c r="P61" s="59" t="s">
        <v>177</v>
      </c>
    </row>
    <row r="62" spans="1:16" ht="12.75" customHeight="1" thickBot="1">
      <c r="A62" s="10" t="str">
        <f t="shared" si="6"/>
        <v> ASS 126.108 </v>
      </c>
      <c r="B62" s="19" t="str">
        <f t="shared" si="7"/>
        <v>II</v>
      </c>
      <c r="C62" s="10">
        <f t="shared" si="8"/>
        <v>44591.2166</v>
      </c>
      <c r="D62" s="16" t="str">
        <f t="shared" si="9"/>
        <v>vis</v>
      </c>
      <c r="E62" s="56">
        <f>VLOOKUP(C62,Active!C$21:E$972,3,FALSE)</f>
        <v>28656.471587624917</v>
      </c>
      <c r="F62" s="19" t="s">
        <v>72</v>
      </c>
      <c r="G62" s="16" t="str">
        <f t="shared" si="10"/>
        <v>44591.2166</v>
      </c>
      <c r="H62" s="10">
        <f t="shared" si="11"/>
        <v>28656.5</v>
      </c>
      <c r="I62" s="57" t="s">
        <v>181</v>
      </c>
      <c r="J62" s="58" t="s">
        <v>182</v>
      </c>
      <c r="K62" s="57">
        <v>28656.5</v>
      </c>
      <c r="L62" s="57" t="s">
        <v>183</v>
      </c>
      <c r="M62" s="58" t="s">
        <v>160</v>
      </c>
      <c r="N62" s="58" t="s">
        <v>161</v>
      </c>
      <c r="O62" s="59" t="s">
        <v>176</v>
      </c>
      <c r="P62" s="59" t="s">
        <v>177</v>
      </c>
    </row>
    <row r="63" spans="1:16" ht="12.75" customHeight="1" thickBot="1">
      <c r="A63" s="10" t="str">
        <f t="shared" si="6"/>
        <v> ASS 126.108 </v>
      </c>
      <c r="B63" s="19" t="str">
        <f t="shared" si="7"/>
        <v>I</v>
      </c>
      <c r="C63" s="10">
        <f t="shared" si="8"/>
        <v>44604.188800000004</v>
      </c>
      <c r="D63" s="16" t="str">
        <f t="shared" si="9"/>
        <v>vis</v>
      </c>
      <c r="E63" s="56">
        <f>VLOOKUP(C63,Active!C$21:E$972,3,FALSE)</f>
        <v>28676.003029946703</v>
      </c>
      <c r="F63" s="19" t="s">
        <v>72</v>
      </c>
      <c r="G63" s="16" t="str">
        <f t="shared" si="10"/>
        <v>44604.1888</v>
      </c>
      <c r="H63" s="10">
        <f t="shared" si="11"/>
        <v>28676</v>
      </c>
      <c r="I63" s="57" t="s">
        <v>184</v>
      </c>
      <c r="J63" s="58" t="s">
        <v>185</v>
      </c>
      <c r="K63" s="57">
        <v>28676</v>
      </c>
      <c r="L63" s="57" t="s">
        <v>186</v>
      </c>
      <c r="M63" s="58" t="s">
        <v>160</v>
      </c>
      <c r="N63" s="58" t="s">
        <v>161</v>
      </c>
      <c r="O63" s="59" t="s">
        <v>176</v>
      </c>
      <c r="P63" s="59" t="s">
        <v>177</v>
      </c>
    </row>
    <row r="64" spans="1:16" ht="12.75" customHeight="1" thickBot="1">
      <c r="A64" s="10" t="str">
        <f t="shared" si="6"/>
        <v> ASS 126.108 </v>
      </c>
      <c r="B64" s="19" t="str">
        <f t="shared" si="7"/>
        <v>II</v>
      </c>
      <c r="C64" s="10">
        <f t="shared" si="8"/>
        <v>44605.185700000002</v>
      </c>
      <c r="D64" s="16" t="str">
        <f t="shared" si="9"/>
        <v>vis</v>
      </c>
      <c r="E64" s="56">
        <f>VLOOKUP(C64,Active!C$21:E$972,3,FALSE)</f>
        <v>28677.504000857614</v>
      </c>
      <c r="F64" s="19" t="s">
        <v>72</v>
      </c>
      <c r="G64" s="16" t="str">
        <f t="shared" si="10"/>
        <v>44605.1857</v>
      </c>
      <c r="H64" s="10">
        <f t="shared" si="11"/>
        <v>28677.5</v>
      </c>
      <c r="I64" s="57" t="s">
        <v>187</v>
      </c>
      <c r="J64" s="58" t="s">
        <v>188</v>
      </c>
      <c r="K64" s="57">
        <v>28677.5</v>
      </c>
      <c r="L64" s="57" t="s">
        <v>189</v>
      </c>
      <c r="M64" s="58" t="s">
        <v>160</v>
      </c>
      <c r="N64" s="58" t="s">
        <v>161</v>
      </c>
      <c r="O64" s="59" t="s">
        <v>176</v>
      </c>
      <c r="P64" s="59" t="s">
        <v>177</v>
      </c>
    </row>
    <row r="65" spans="1:16" ht="12.75" customHeight="1" thickBot="1">
      <c r="A65" s="10" t="str">
        <f t="shared" si="6"/>
        <v>VSB 39 </v>
      </c>
      <c r="B65" s="19" t="str">
        <f t="shared" si="7"/>
        <v>I</v>
      </c>
      <c r="C65" s="10">
        <f t="shared" si="8"/>
        <v>52266.056499999999</v>
      </c>
      <c r="D65" s="16" t="str">
        <f t="shared" si="9"/>
        <v>vis</v>
      </c>
      <c r="E65" s="56">
        <f>VLOOKUP(C65,Active!C$21:E$972,3,FALSE)</f>
        <v>40212.005177589293</v>
      </c>
      <c r="F65" s="19" t="s">
        <v>72</v>
      </c>
      <c r="G65" s="16" t="str">
        <f t="shared" si="10"/>
        <v>52266.0565</v>
      </c>
      <c r="H65" s="10">
        <f t="shared" si="11"/>
        <v>40212</v>
      </c>
      <c r="I65" s="57" t="s">
        <v>218</v>
      </c>
      <c r="J65" s="58" t="s">
        <v>219</v>
      </c>
      <c r="K65" s="57">
        <v>40212</v>
      </c>
      <c r="L65" s="57" t="s">
        <v>220</v>
      </c>
      <c r="M65" s="58" t="s">
        <v>160</v>
      </c>
      <c r="N65" s="58" t="s">
        <v>161</v>
      </c>
      <c r="O65" s="59" t="s">
        <v>221</v>
      </c>
      <c r="P65" s="60" t="s">
        <v>222</v>
      </c>
    </row>
    <row r="66" spans="1:16" ht="12.75" customHeight="1" thickBot="1">
      <c r="A66" s="10" t="str">
        <f t="shared" si="6"/>
        <v>VSB 40 </v>
      </c>
      <c r="B66" s="19" t="str">
        <f t="shared" si="7"/>
        <v>II</v>
      </c>
      <c r="C66" s="10">
        <f t="shared" si="8"/>
        <v>52279.008800000003</v>
      </c>
      <c r="D66" s="16" t="str">
        <f t="shared" si="9"/>
        <v>vis</v>
      </c>
      <c r="E66" s="56">
        <f>VLOOKUP(C66,Active!C$21:E$972,3,FALSE)</f>
        <v>40231.506657707119</v>
      </c>
      <c r="F66" s="19" t="s">
        <v>72</v>
      </c>
      <c r="G66" s="16" t="str">
        <f t="shared" si="10"/>
        <v>52279.0088</v>
      </c>
      <c r="H66" s="10">
        <f t="shared" si="11"/>
        <v>40231.5</v>
      </c>
      <c r="I66" s="57" t="s">
        <v>223</v>
      </c>
      <c r="J66" s="58" t="s">
        <v>224</v>
      </c>
      <c r="K66" s="57">
        <v>40231.5</v>
      </c>
      <c r="L66" s="57" t="s">
        <v>225</v>
      </c>
      <c r="M66" s="58" t="s">
        <v>160</v>
      </c>
      <c r="N66" s="58" t="s">
        <v>161</v>
      </c>
      <c r="O66" s="59" t="s">
        <v>221</v>
      </c>
      <c r="P66" s="60" t="s">
        <v>226</v>
      </c>
    </row>
    <row r="67" spans="1:16" ht="12.75" customHeight="1" thickBot="1">
      <c r="A67" s="10" t="str">
        <f t="shared" si="6"/>
        <v>VSB 43 </v>
      </c>
      <c r="B67" s="19" t="str">
        <f t="shared" si="7"/>
        <v>I</v>
      </c>
      <c r="C67" s="10">
        <f t="shared" si="8"/>
        <v>53347.988799999999</v>
      </c>
      <c r="D67" s="16" t="str">
        <f t="shared" si="9"/>
        <v>vis</v>
      </c>
      <c r="E67" s="56">
        <f>VLOOKUP(C67,Active!C$21:E$972,3,FALSE)</f>
        <v>41841.003983768613</v>
      </c>
      <c r="F67" s="19" t="s">
        <v>72</v>
      </c>
      <c r="G67" s="16" t="str">
        <f t="shared" si="10"/>
        <v>53347.9888</v>
      </c>
      <c r="H67" s="10">
        <f t="shared" si="11"/>
        <v>41841</v>
      </c>
      <c r="I67" s="57" t="s">
        <v>239</v>
      </c>
      <c r="J67" s="58" t="s">
        <v>240</v>
      </c>
      <c r="K67" s="57" t="s">
        <v>241</v>
      </c>
      <c r="L67" s="57" t="s">
        <v>242</v>
      </c>
      <c r="M67" s="58" t="s">
        <v>160</v>
      </c>
      <c r="N67" s="58" t="s">
        <v>161</v>
      </c>
      <c r="O67" s="59" t="s">
        <v>221</v>
      </c>
      <c r="P67" s="60" t="s">
        <v>243</v>
      </c>
    </row>
    <row r="68" spans="1:16" ht="12.75" customHeight="1" thickBot="1">
      <c r="A68" s="10" t="str">
        <f t="shared" si="6"/>
        <v>VSB 44 </v>
      </c>
      <c r="B68" s="19" t="str">
        <f t="shared" si="7"/>
        <v>I</v>
      </c>
      <c r="C68" s="10">
        <f t="shared" si="8"/>
        <v>53630.261700000003</v>
      </c>
      <c r="D68" s="16" t="str">
        <f t="shared" si="9"/>
        <v>vis</v>
      </c>
      <c r="E68" s="56">
        <f>VLOOKUP(C68,Active!C$21:E$972,3,FALSE)</f>
        <v>42266.004898443942</v>
      </c>
      <c r="F68" s="19" t="s">
        <v>72</v>
      </c>
      <c r="G68" s="16" t="str">
        <f t="shared" si="10"/>
        <v>53630.2617</v>
      </c>
      <c r="H68" s="10">
        <f t="shared" si="11"/>
        <v>42266</v>
      </c>
      <c r="I68" s="57" t="s">
        <v>250</v>
      </c>
      <c r="J68" s="58" t="s">
        <v>251</v>
      </c>
      <c r="K68" s="57" t="s">
        <v>252</v>
      </c>
      <c r="L68" s="57" t="s">
        <v>253</v>
      </c>
      <c r="M68" s="58" t="s">
        <v>160</v>
      </c>
      <c r="N68" s="58" t="s">
        <v>161</v>
      </c>
      <c r="O68" s="59" t="s">
        <v>254</v>
      </c>
      <c r="P68" s="60" t="s">
        <v>255</v>
      </c>
    </row>
    <row r="69" spans="1:16" ht="12.75" customHeight="1" thickBot="1">
      <c r="A69" s="10" t="str">
        <f t="shared" si="6"/>
        <v>VSB 48 </v>
      </c>
      <c r="B69" s="19" t="str">
        <f t="shared" si="7"/>
        <v>I</v>
      </c>
      <c r="C69" s="10">
        <f t="shared" si="8"/>
        <v>54467.116900000001</v>
      </c>
      <c r="D69" s="16" t="str">
        <f t="shared" si="9"/>
        <v>vis</v>
      </c>
      <c r="E69" s="56">
        <f>VLOOKUP(C69,Active!C$21:E$972,3,FALSE)</f>
        <v>43526.006214371897</v>
      </c>
      <c r="F69" s="19" t="s">
        <v>72</v>
      </c>
      <c r="G69" s="16" t="str">
        <f t="shared" si="10"/>
        <v>54467.1169</v>
      </c>
      <c r="H69" s="10">
        <f t="shared" si="11"/>
        <v>43526</v>
      </c>
      <c r="I69" s="57" t="s">
        <v>256</v>
      </c>
      <c r="J69" s="58" t="s">
        <v>257</v>
      </c>
      <c r="K69" s="57" t="s">
        <v>258</v>
      </c>
      <c r="L69" s="57" t="s">
        <v>259</v>
      </c>
      <c r="M69" s="58" t="s">
        <v>235</v>
      </c>
      <c r="N69" s="58" t="s">
        <v>72</v>
      </c>
      <c r="O69" s="59" t="s">
        <v>260</v>
      </c>
      <c r="P69" s="60" t="s">
        <v>261</v>
      </c>
    </row>
    <row r="70" spans="1:16" ht="12.75" customHeight="1" thickBot="1">
      <c r="A70" s="10" t="str">
        <f t="shared" si="6"/>
        <v>OEJV 0107 </v>
      </c>
      <c r="B70" s="19" t="str">
        <f t="shared" si="7"/>
        <v>II</v>
      </c>
      <c r="C70" s="10">
        <f t="shared" si="8"/>
        <v>54831.414100000002</v>
      </c>
      <c r="D70" s="16" t="str">
        <f t="shared" si="9"/>
        <v>vis</v>
      </c>
      <c r="E70" s="56" t="e">
        <f>VLOOKUP(C70,Active!C$21:E$972,3,FALSE)</f>
        <v>#N/A</v>
      </c>
      <c r="F70" s="19" t="s">
        <v>72</v>
      </c>
      <c r="G70" s="16" t="str">
        <f t="shared" si="10"/>
        <v>54831.4141</v>
      </c>
      <c r="H70" s="10">
        <f t="shared" si="11"/>
        <v>44074.5</v>
      </c>
      <c r="I70" s="57" t="s">
        <v>267</v>
      </c>
      <c r="J70" s="58" t="s">
        <v>268</v>
      </c>
      <c r="K70" s="57" t="s">
        <v>269</v>
      </c>
      <c r="L70" s="57" t="s">
        <v>270</v>
      </c>
      <c r="M70" s="58" t="s">
        <v>235</v>
      </c>
      <c r="N70" s="58" t="s">
        <v>271</v>
      </c>
      <c r="O70" s="59" t="s">
        <v>272</v>
      </c>
      <c r="P70" s="60" t="s">
        <v>273</v>
      </c>
    </row>
    <row r="71" spans="1:16" ht="12.75" customHeight="1" thickBot="1">
      <c r="A71" s="10" t="str">
        <f t="shared" si="6"/>
        <v>VSB 50 </v>
      </c>
      <c r="B71" s="19" t="str">
        <f t="shared" si="7"/>
        <v>I</v>
      </c>
      <c r="C71" s="10">
        <f t="shared" si="8"/>
        <v>54845.0288</v>
      </c>
      <c r="D71" s="16" t="str">
        <f t="shared" si="9"/>
        <v>vis</v>
      </c>
      <c r="E71" s="56">
        <f>VLOOKUP(C71,Active!C$21:E$972,3,FALSE)</f>
        <v>44095.004879021202</v>
      </c>
      <c r="F71" s="19" t="s">
        <v>72</v>
      </c>
      <c r="G71" s="16" t="str">
        <f t="shared" si="10"/>
        <v>54845.0288</v>
      </c>
      <c r="H71" s="10">
        <f t="shared" si="11"/>
        <v>44095</v>
      </c>
      <c r="I71" s="57" t="s">
        <v>274</v>
      </c>
      <c r="J71" s="58" t="s">
        <v>275</v>
      </c>
      <c r="K71" s="57" t="s">
        <v>276</v>
      </c>
      <c r="L71" s="57" t="s">
        <v>277</v>
      </c>
      <c r="M71" s="58" t="s">
        <v>235</v>
      </c>
      <c r="N71" s="58" t="s">
        <v>72</v>
      </c>
      <c r="O71" s="59" t="s">
        <v>278</v>
      </c>
      <c r="P71" s="60" t="s">
        <v>279</v>
      </c>
    </row>
    <row r="72" spans="1:16" ht="12.75" customHeight="1" thickBot="1">
      <c r="A72" s="10" t="str">
        <f t="shared" si="6"/>
        <v>VSB 53 </v>
      </c>
      <c r="B72" s="19" t="str">
        <f t="shared" si="7"/>
        <v>II</v>
      </c>
      <c r="C72" s="10">
        <f t="shared" si="8"/>
        <v>55571.962500000001</v>
      </c>
      <c r="D72" s="16" t="str">
        <f t="shared" si="9"/>
        <v>vis</v>
      </c>
      <c r="E72" s="56">
        <f>VLOOKUP(C72,Active!C$21:E$972,3,FALSE)</f>
        <v>45189.504164671074</v>
      </c>
      <c r="F72" s="19" t="s">
        <v>72</v>
      </c>
      <c r="G72" s="16" t="str">
        <f t="shared" si="10"/>
        <v>55571.9625</v>
      </c>
      <c r="H72" s="10">
        <f t="shared" si="11"/>
        <v>45189.5</v>
      </c>
      <c r="I72" s="57" t="s">
        <v>289</v>
      </c>
      <c r="J72" s="58" t="s">
        <v>290</v>
      </c>
      <c r="K72" s="57" t="s">
        <v>291</v>
      </c>
      <c r="L72" s="57" t="s">
        <v>292</v>
      </c>
      <c r="M72" s="58" t="s">
        <v>235</v>
      </c>
      <c r="N72" s="58" t="s">
        <v>293</v>
      </c>
      <c r="O72" s="59" t="s">
        <v>294</v>
      </c>
      <c r="P72" s="60" t="s">
        <v>295</v>
      </c>
    </row>
    <row r="73" spans="1:16" ht="12.75" customHeight="1" thickBot="1">
      <c r="A73" s="10" t="str">
        <f t="shared" si="6"/>
        <v>VSB 53 </v>
      </c>
      <c r="B73" s="19" t="str">
        <f t="shared" si="7"/>
        <v>II</v>
      </c>
      <c r="C73" s="10">
        <f t="shared" si="8"/>
        <v>55886.114999999998</v>
      </c>
      <c r="D73" s="16" t="str">
        <f t="shared" si="9"/>
        <v>vis</v>
      </c>
      <c r="E73" s="56">
        <f>VLOOKUP(C73,Active!C$21:E$972,3,FALSE)</f>
        <v>45662.504228961829</v>
      </c>
      <c r="F73" s="19" t="s">
        <v>72</v>
      </c>
      <c r="G73" s="16" t="str">
        <f t="shared" si="10"/>
        <v>55886.1150</v>
      </c>
      <c r="H73" s="10">
        <f t="shared" si="11"/>
        <v>45662.5</v>
      </c>
      <c r="I73" s="57" t="s">
        <v>307</v>
      </c>
      <c r="J73" s="58" t="s">
        <v>308</v>
      </c>
      <c r="K73" s="57" t="s">
        <v>309</v>
      </c>
      <c r="L73" s="57" t="s">
        <v>292</v>
      </c>
      <c r="M73" s="58" t="s">
        <v>235</v>
      </c>
      <c r="N73" s="58" t="s">
        <v>310</v>
      </c>
      <c r="O73" s="59" t="s">
        <v>294</v>
      </c>
      <c r="P73" s="60" t="s">
        <v>295</v>
      </c>
    </row>
    <row r="74" spans="1:16" ht="12.75" customHeight="1" thickBot="1">
      <c r="A74" s="10" t="str">
        <f t="shared" si="6"/>
        <v>VSB 53 </v>
      </c>
      <c r="B74" s="19" t="str">
        <f t="shared" si="7"/>
        <v>II</v>
      </c>
      <c r="C74" s="10">
        <f t="shared" si="8"/>
        <v>55916.006500000003</v>
      </c>
      <c r="D74" s="16" t="str">
        <f t="shared" si="9"/>
        <v>vis</v>
      </c>
      <c r="E74" s="56">
        <f>VLOOKUP(C74,Active!C$21:E$972,3,FALSE)</f>
        <v>45707.51001889426</v>
      </c>
      <c r="F74" s="19" t="s">
        <v>72</v>
      </c>
      <c r="G74" s="16" t="str">
        <f t="shared" si="10"/>
        <v>55916.0065</v>
      </c>
      <c r="H74" s="10">
        <f t="shared" si="11"/>
        <v>45707.5</v>
      </c>
      <c r="I74" s="57" t="s">
        <v>311</v>
      </c>
      <c r="J74" s="58" t="s">
        <v>312</v>
      </c>
      <c r="K74" s="57" t="s">
        <v>313</v>
      </c>
      <c r="L74" s="57" t="s">
        <v>314</v>
      </c>
      <c r="M74" s="58" t="s">
        <v>235</v>
      </c>
      <c r="N74" s="58" t="s">
        <v>310</v>
      </c>
      <c r="O74" s="59" t="s">
        <v>294</v>
      </c>
      <c r="P74" s="60" t="s">
        <v>295</v>
      </c>
    </row>
    <row r="75" spans="1:16" ht="12.75" customHeight="1" thickBot="1">
      <c r="A75" s="10" t="str">
        <f t="shared" ref="A75:A81" si="12">P75</f>
        <v>VSB 55 </v>
      </c>
      <c r="B75" s="19" t="str">
        <f t="shared" ref="B75:B81" si="13">IF(H75=INT(H75),"I","II")</f>
        <v>II</v>
      </c>
      <c r="C75" s="10">
        <f t="shared" ref="C75:C81" si="14">1*G75</f>
        <v>55935.928099999997</v>
      </c>
      <c r="D75" s="16" t="str">
        <f t="shared" ref="D75:D81" si="15">VLOOKUP(F75,I$1:J$5,2,FALSE)</f>
        <v>vis</v>
      </c>
      <c r="E75" s="56">
        <f>VLOOKUP(C75,Active!C$21:E$972,3,FALSE)</f>
        <v>45737.504744642974</v>
      </c>
      <c r="F75" s="19" t="s">
        <v>72</v>
      </c>
      <c r="G75" s="16" t="str">
        <f t="shared" ref="G75:G81" si="16">MID(I75,3,LEN(I75)-3)</f>
        <v>55935.9281</v>
      </c>
      <c r="H75" s="10">
        <f t="shared" ref="H75:H81" si="17">1*K75</f>
        <v>45737.5</v>
      </c>
      <c r="I75" s="57" t="s">
        <v>315</v>
      </c>
      <c r="J75" s="58" t="s">
        <v>316</v>
      </c>
      <c r="K75" s="57" t="s">
        <v>317</v>
      </c>
      <c r="L75" s="57" t="s">
        <v>277</v>
      </c>
      <c r="M75" s="58" t="s">
        <v>235</v>
      </c>
      <c r="N75" s="58" t="s">
        <v>293</v>
      </c>
      <c r="O75" s="59" t="s">
        <v>294</v>
      </c>
      <c r="P75" s="60" t="s">
        <v>318</v>
      </c>
    </row>
    <row r="76" spans="1:16" ht="12.75" customHeight="1" thickBot="1">
      <c r="A76" s="10" t="str">
        <f t="shared" si="12"/>
        <v>VSB 55 </v>
      </c>
      <c r="B76" s="19" t="str">
        <f t="shared" si="13"/>
        <v>I</v>
      </c>
      <c r="C76" s="10">
        <f t="shared" si="14"/>
        <v>56274.985500000003</v>
      </c>
      <c r="D76" s="16" t="str">
        <f t="shared" si="15"/>
        <v>vis</v>
      </c>
      <c r="E76" s="56">
        <f>VLOOKUP(C76,Active!C$21:E$972,3,FALSE)</f>
        <v>46248.002582470974</v>
      </c>
      <c r="F76" s="19" t="s">
        <v>72</v>
      </c>
      <c r="G76" s="16" t="str">
        <f t="shared" si="16"/>
        <v>56274.9855</v>
      </c>
      <c r="H76" s="10">
        <f t="shared" si="17"/>
        <v>46248</v>
      </c>
      <c r="I76" s="57" t="s">
        <v>319</v>
      </c>
      <c r="J76" s="58" t="s">
        <v>320</v>
      </c>
      <c r="K76" s="57" t="s">
        <v>321</v>
      </c>
      <c r="L76" s="57" t="s">
        <v>322</v>
      </c>
      <c r="M76" s="58" t="s">
        <v>235</v>
      </c>
      <c r="N76" s="58" t="s">
        <v>72</v>
      </c>
      <c r="O76" s="59" t="s">
        <v>294</v>
      </c>
      <c r="P76" s="60" t="s">
        <v>318</v>
      </c>
    </row>
    <row r="77" spans="1:16" ht="12.75" customHeight="1" thickBot="1">
      <c r="A77" s="10" t="str">
        <f t="shared" si="12"/>
        <v>VSB 55 </v>
      </c>
      <c r="B77" s="19" t="str">
        <f t="shared" si="13"/>
        <v>I</v>
      </c>
      <c r="C77" s="10">
        <f t="shared" si="14"/>
        <v>56274.986900000004</v>
      </c>
      <c r="D77" s="16" t="str">
        <f t="shared" si="15"/>
        <v>vis</v>
      </c>
      <c r="E77" s="56">
        <f>VLOOKUP(C77,Active!C$21:E$972,3,FALSE)</f>
        <v>46248.004690364716</v>
      </c>
      <c r="F77" s="19" t="s">
        <v>72</v>
      </c>
      <c r="G77" s="16" t="str">
        <f t="shared" si="16"/>
        <v>56274.9869</v>
      </c>
      <c r="H77" s="10">
        <f t="shared" si="17"/>
        <v>46248</v>
      </c>
      <c r="I77" s="57" t="s">
        <v>323</v>
      </c>
      <c r="J77" s="58" t="s">
        <v>324</v>
      </c>
      <c r="K77" s="57" t="s">
        <v>321</v>
      </c>
      <c r="L77" s="57" t="s">
        <v>287</v>
      </c>
      <c r="M77" s="58" t="s">
        <v>235</v>
      </c>
      <c r="N77" s="58" t="s">
        <v>293</v>
      </c>
      <c r="O77" s="59" t="s">
        <v>294</v>
      </c>
      <c r="P77" s="60" t="s">
        <v>318</v>
      </c>
    </row>
    <row r="78" spans="1:16" ht="12.75" customHeight="1" thickBot="1">
      <c r="A78" s="10" t="str">
        <f t="shared" si="12"/>
        <v>VSB 55 </v>
      </c>
      <c r="B78" s="19" t="str">
        <f t="shared" si="13"/>
        <v>I</v>
      </c>
      <c r="C78" s="10">
        <f t="shared" si="14"/>
        <v>56274.987000000001</v>
      </c>
      <c r="D78" s="16" t="str">
        <f t="shared" si="15"/>
        <v>vis</v>
      </c>
      <c r="E78" s="56">
        <f>VLOOKUP(C78,Active!C$21:E$972,3,FALSE)</f>
        <v>46248.004840928552</v>
      </c>
      <c r="F78" s="19" t="s">
        <v>72</v>
      </c>
      <c r="G78" s="16" t="str">
        <f t="shared" si="16"/>
        <v>56274.9870</v>
      </c>
      <c r="H78" s="10">
        <f t="shared" si="17"/>
        <v>46248</v>
      </c>
      <c r="I78" s="57" t="s">
        <v>325</v>
      </c>
      <c r="J78" s="58" t="s">
        <v>324</v>
      </c>
      <c r="K78" s="57" t="s">
        <v>321</v>
      </c>
      <c r="L78" s="57" t="s">
        <v>277</v>
      </c>
      <c r="M78" s="58" t="s">
        <v>235</v>
      </c>
      <c r="N78" s="58" t="s">
        <v>31</v>
      </c>
      <c r="O78" s="59" t="s">
        <v>294</v>
      </c>
      <c r="P78" s="60" t="s">
        <v>318</v>
      </c>
    </row>
    <row r="79" spans="1:16" ht="12.75" customHeight="1" thickBot="1">
      <c r="A79" s="10" t="str">
        <f t="shared" si="12"/>
        <v>VSB 55 </v>
      </c>
      <c r="B79" s="19" t="str">
        <f t="shared" si="13"/>
        <v>II</v>
      </c>
      <c r="C79" s="10">
        <f t="shared" si="14"/>
        <v>56287.934300000001</v>
      </c>
      <c r="D79" s="16" t="str">
        <f t="shared" si="15"/>
        <v>CCD</v>
      </c>
      <c r="E79" s="56">
        <f>VLOOKUP(C79,Active!C$21:E$972,3,FALSE)</f>
        <v>46267.498792854421</v>
      </c>
      <c r="F79" s="19" t="str">
        <f>LEFT(M79,1)</f>
        <v>C</v>
      </c>
      <c r="G79" s="16" t="str">
        <f t="shared" si="16"/>
        <v>56287.9343</v>
      </c>
      <c r="H79" s="10">
        <f t="shared" si="17"/>
        <v>46267.5</v>
      </c>
      <c r="I79" s="57" t="s">
        <v>326</v>
      </c>
      <c r="J79" s="58" t="s">
        <v>327</v>
      </c>
      <c r="K79" s="57" t="s">
        <v>328</v>
      </c>
      <c r="L79" s="57" t="s">
        <v>329</v>
      </c>
      <c r="M79" s="58" t="s">
        <v>235</v>
      </c>
      <c r="N79" s="58" t="s">
        <v>31</v>
      </c>
      <c r="O79" s="59" t="s">
        <v>294</v>
      </c>
      <c r="P79" s="60" t="s">
        <v>318</v>
      </c>
    </row>
    <row r="80" spans="1:16" ht="12.75" customHeight="1" thickBot="1">
      <c r="A80" s="10" t="str">
        <f t="shared" si="12"/>
        <v>VSB 55 </v>
      </c>
      <c r="B80" s="19" t="str">
        <f t="shared" si="13"/>
        <v>II</v>
      </c>
      <c r="C80" s="10">
        <f t="shared" si="14"/>
        <v>56287.935299999997</v>
      </c>
      <c r="D80" s="16" t="str">
        <f t="shared" si="15"/>
        <v>CCD</v>
      </c>
      <c r="E80" s="56">
        <f>VLOOKUP(C80,Active!C$21:E$972,3,FALSE)</f>
        <v>46267.500298492807</v>
      </c>
      <c r="F80" s="19" t="str">
        <f>LEFT(M80,1)</f>
        <v>C</v>
      </c>
      <c r="G80" s="16" t="str">
        <f t="shared" si="16"/>
        <v>56287.9353</v>
      </c>
      <c r="H80" s="10">
        <f t="shared" si="17"/>
        <v>46267.5</v>
      </c>
      <c r="I80" s="57" t="s">
        <v>330</v>
      </c>
      <c r="J80" s="58" t="s">
        <v>331</v>
      </c>
      <c r="K80" s="57" t="s">
        <v>328</v>
      </c>
      <c r="L80" s="57" t="s">
        <v>332</v>
      </c>
      <c r="M80" s="58" t="s">
        <v>235</v>
      </c>
      <c r="N80" s="58" t="s">
        <v>72</v>
      </c>
      <c r="O80" s="59" t="s">
        <v>294</v>
      </c>
      <c r="P80" s="60" t="s">
        <v>318</v>
      </c>
    </row>
    <row r="81" spans="1:16" ht="12.75" customHeight="1" thickBot="1">
      <c r="A81" s="10" t="str">
        <f t="shared" si="12"/>
        <v>VSB 55 </v>
      </c>
      <c r="B81" s="19" t="str">
        <f t="shared" si="13"/>
        <v>II</v>
      </c>
      <c r="C81" s="10">
        <f t="shared" si="14"/>
        <v>56287.935599999997</v>
      </c>
      <c r="D81" s="16" t="str">
        <f t="shared" si="15"/>
        <v>CCD</v>
      </c>
      <c r="E81" s="56">
        <f>VLOOKUP(C81,Active!C$21:E$972,3,FALSE)</f>
        <v>46267.500750184328</v>
      </c>
      <c r="F81" s="19" t="str">
        <f>LEFT(M81,1)</f>
        <v>C</v>
      </c>
      <c r="G81" s="16" t="str">
        <f t="shared" si="16"/>
        <v>56287.9356</v>
      </c>
      <c r="H81" s="10">
        <f t="shared" si="17"/>
        <v>46267.5</v>
      </c>
      <c r="I81" s="57" t="s">
        <v>333</v>
      </c>
      <c r="J81" s="58" t="s">
        <v>334</v>
      </c>
      <c r="K81" s="57" t="s">
        <v>328</v>
      </c>
      <c r="L81" s="57" t="s">
        <v>335</v>
      </c>
      <c r="M81" s="58" t="s">
        <v>235</v>
      </c>
      <c r="N81" s="58" t="s">
        <v>293</v>
      </c>
      <c r="O81" s="59" t="s">
        <v>294</v>
      </c>
      <c r="P81" s="60" t="s">
        <v>318</v>
      </c>
    </row>
    <row r="82" spans="1:16">
      <c r="B82" s="19"/>
      <c r="F82" s="19"/>
    </row>
    <row r="83" spans="1:16">
      <c r="B83" s="19"/>
      <c r="F83" s="19"/>
    </row>
    <row r="84" spans="1:16">
      <c r="B84" s="19"/>
      <c r="F84" s="19"/>
    </row>
    <row r="85" spans="1:16">
      <c r="B85" s="19"/>
      <c r="F85" s="19"/>
    </row>
    <row r="86" spans="1:16">
      <c r="B86" s="19"/>
      <c r="F86" s="19"/>
    </row>
    <row r="87" spans="1:16">
      <c r="B87" s="19"/>
      <c r="F87" s="19"/>
    </row>
    <row r="88" spans="1:16">
      <c r="B88" s="19"/>
      <c r="F88" s="19"/>
    </row>
    <row r="89" spans="1:16">
      <c r="B89" s="19"/>
      <c r="F89" s="19"/>
    </row>
    <row r="90" spans="1:16">
      <c r="B90" s="19"/>
      <c r="F90" s="19"/>
    </row>
    <row r="91" spans="1:16">
      <c r="B91" s="19"/>
      <c r="F91" s="19"/>
    </row>
    <row r="92" spans="1:16">
      <c r="B92" s="19"/>
      <c r="F92" s="19"/>
    </row>
    <row r="93" spans="1:16">
      <c r="B93" s="19"/>
      <c r="F93" s="19"/>
    </row>
    <row r="94" spans="1:16">
      <c r="B94" s="19"/>
      <c r="F94" s="19"/>
    </row>
    <row r="95" spans="1:16">
      <c r="B95" s="19"/>
      <c r="F95" s="19"/>
    </row>
    <row r="96" spans="1:1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</sheetData>
  <phoneticPr fontId="8" type="noConversion"/>
  <hyperlinks>
    <hyperlink ref="P57" r:id="rId1" display="http://www.konkoly.hu/cgi-bin/IBVS?1919"/>
    <hyperlink ref="P58" r:id="rId2" display="http://www.konkoly.hu/cgi-bin/IBVS?1919"/>
    <hyperlink ref="P59" r:id="rId3" display="http://www.konkoly.hu/cgi-bin/IBVS?1919"/>
    <hyperlink ref="P15" r:id="rId4" display="http://www.konkoly.hu/cgi-bin/IBVS?2185"/>
    <hyperlink ref="P65" r:id="rId5" display="http://vsolj.cetus-net.org/no39.pdf"/>
    <hyperlink ref="P66" r:id="rId6" display="http://vsolj.cetus-net.org/no40.pdf"/>
    <hyperlink ref="P25" r:id="rId7" display="http://www.konkoly.hu/cgi-bin/IBVS?5502"/>
    <hyperlink ref="P26" r:id="rId8" display="http://www.konkoly.hu/cgi-bin/IBVS?5843"/>
    <hyperlink ref="P67" r:id="rId9" display="http://vsolj.cetus-net.org/no43.pdf"/>
    <hyperlink ref="P27" r:id="rId10" display="http://www.konkoly.hu/cgi-bin/IBVS?5677"/>
    <hyperlink ref="P68" r:id="rId11" display="http://vsolj.cetus-net.org/no44.pdf"/>
    <hyperlink ref="P69" r:id="rId12" display="http://vsolj.cetus-net.org/no48.pdf"/>
    <hyperlink ref="P28" r:id="rId13" display="http://www.konkoly.hu/cgi-bin/IBVS?5871"/>
    <hyperlink ref="P70" r:id="rId14" display="http://var.astro.cz/oejv/issues/oejv0107.pdf"/>
    <hyperlink ref="P71" r:id="rId15" display="http://vsolj.cetus-net.org/vsoljno50.pdf"/>
    <hyperlink ref="P29" r:id="rId16" display="http://www.konkoly.hu/cgi-bin/IBVS?5920"/>
    <hyperlink ref="P30" r:id="rId17" display="http://www.konkoly.hu/cgi-bin/IBVS?5960"/>
    <hyperlink ref="P72" r:id="rId18" display="http://vsolj.cetus-net.org/vsoljno53.pdf"/>
    <hyperlink ref="P31" r:id="rId19" display="http://www.konkoly.hu/cgi-bin/IBVS?6011"/>
    <hyperlink ref="P32" r:id="rId20" display="http://var.astro.cz/oejv/issues/oejv0142.pdf"/>
    <hyperlink ref="P73" r:id="rId21" display="http://vsolj.cetus-net.org/vsoljno53.pdf"/>
    <hyperlink ref="P74" r:id="rId22" display="http://vsolj.cetus-net.org/vsoljno53.pdf"/>
    <hyperlink ref="P75" r:id="rId23" display="http://vsolj.cetus-net.org/vsoljno55.pdf"/>
    <hyperlink ref="P76" r:id="rId24" display="http://vsolj.cetus-net.org/vsoljno55.pdf"/>
    <hyperlink ref="P77" r:id="rId25" display="http://vsolj.cetus-net.org/vsoljno55.pdf"/>
    <hyperlink ref="P78" r:id="rId26" display="http://vsolj.cetus-net.org/vsoljno55.pdf"/>
    <hyperlink ref="P79" r:id="rId27" display="http://vsolj.cetus-net.org/vsoljno55.pdf"/>
    <hyperlink ref="P80" r:id="rId28" display="http://vsolj.cetus-net.org/vsoljno55.pdf"/>
    <hyperlink ref="P81" r:id="rId29" display="http://vsolj.cetus-net.org/vsoljno55.pdf"/>
    <hyperlink ref="P33" r:id="rId30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2023-01-14T03:59:11Z</dcterms:modified>
</cp:coreProperties>
</file>