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20316D9-9541-4BA4-A49D-FBDBCC2F5B0F}" xr6:coauthVersionLast="47" xr6:coauthVersionMax="47" xr10:uidLastSave="{00000000-0000-0000-0000-000000000000}"/>
  <bookViews>
    <workbookView xWindow="14880" yWindow="720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 s="1"/>
  <c r="K27" i="1" s="1"/>
  <c r="Q27" i="1"/>
  <c r="E23" i="1"/>
  <c r="F23" i="1"/>
  <c r="G23" i="1"/>
  <c r="I23" i="1" s="1"/>
  <c r="E25" i="1"/>
  <c r="F25" i="1"/>
  <c r="G25" i="1"/>
  <c r="I25" i="1" s="1"/>
  <c r="E9" i="1"/>
  <c r="E22" i="1"/>
  <c r="F22" i="1"/>
  <c r="G22" i="1" s="1"/>
  <c r="I22" i="1" s="1"/>
  <c r="Q23" i="1"/>
  <c r="Q24" i="1"/>
  <c r="Q25" i="1"/>
  <c r="Q22" i="1"/>
  <c r="F16" i="1"/>
  <c r="F17" i="1" s="1"/>
  <c r="C17" i="1"/>
  <c r="Q21" i="1"/>
  <c r="E21" i="1"/>
  <c r="F21" i="1"/>
  <c r="G21" i="1"/>
  <c r="I21" i="1" s="1"/>
  <c r="E24" i="1"/>
  <c r="F24" i="1"/>
  <c r="G24" i="1" s="1"/>
  <c r="I24" i="1" s="1"/>
  <c r="C12" i="1"/>
  <c r="C11" i="1"/>
  <c r="O27" i="1" l="1"/>
  <c r="O26" i="1"/>
  <c r="C15" i="1"/>
  <c r="O24" i="1"/>
  <c r="O21" i="1"/>
  <c r="O23" i="1"/>
  <c r="O22" i="1"/>
  <c r="O2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<sst xmlns="http://schemas.openxmlformats.org/spreadsheetml/2006/main" count="67" uniqueCount="54">
  <si>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</si>
  <si>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</si>
  <si>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</si>
  <si>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</si>
  <si>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</si>
  <si>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</si>
  <si>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</si>
  <si>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</si>
  <si>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</si>
  <si>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</si>
  <si>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</si>
  <si>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</si>
  <si>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</si>
  <si>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</si>
  <si>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</si>
  <si>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</si>
  <si>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</si>
  <si>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</si>
  <si>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</si>
  <si>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</si>
  <si>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</si>
  <si>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</si>
  <si>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</si>
  <si>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</si>
  <si>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</si>
  <si>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</si>
  <si>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</si>
  <si>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</si>
  <si>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</si>
  <si>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</si>
  <si>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</si>
  <si>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</si>
  <si>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</si>
  <si>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</si>
  <si>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</si>
  <si>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</si>
  <si>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</si>
  <si>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</si>
  <si>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</si>
  <si>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</si>
  <si>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</si>
  <si>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</si>
  <si>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G1606-1750</t>
  </si>
  <si>
    <t>2015K</t>
  </si>
  <si>
    <t>Sge</t>
  </si>
  <si>
    <t>OEJV 184</t>
  </si>
  <si>
    <t>OEJV 0172</t>
  </si>
  <si>
    <t>II</t>
  </si>
  <si>
    <t>OEJV 0171</t>
  </si>
  <si>
    <t>I</t>
  </si>
  <si>
    <t>EA</t>
  </si>
  <si>
    <t>GSC 1606-1750</t>
  </si>
  <si>
    <t>JBAV, 55</t>
  </si>
  <si>
    <t>F21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</si>
</sst>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3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4" fillId="2" borderId="1" xfId="0" applyFont="1" applyFill="1" applyBorder="1">
      <alignment vertical="top"/>
    </xf>
    <xf numFmtId="0" fontId="15" fillId="0" borderId="1" xfId="0" applyFont="1" applyBorder="1" applyAlignment="1">
      <alignment horizontal="center"/>
    </xf>
    <xf numFmtId="0" fontId="4" fillId="0" borderId="0" xfId="0" applyFont="1">
      <alignment vertical="top"/>
    </xf>
    <xf numFmtId="0" fontId="14" fillId="2" borderId="1" xfId="0" applyFont="1" applyFill="1" applyBorder="1" applyAlignment="1">
      <alignment horizontal="left"/>
    </xf>
    <xf numFmtId="0" fontId="15" fillId="0" borderId="0" xfId="0" applyFont="1">
      <alignment vertical="top"/>
    </xf>
    <xf numFmtId="0" fontId="15" fillId="3" borderId="1" xfId="0" applyFont="1" applyFill="1" applyBorder="1" applyAlignment="1">
      <alignment horizontal="left"/>
    </xf>
    <xf numFmtId="0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2" fontId="17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3" fontId="19" fillId="0" borderId="0" xfId="0" applyNumberFormat="1" applyFont="1" applyAlignment="1">
      <alignment vertical="center" wrapText="1"/>
    </xf>
    <xf numFmtId="0" fontId="20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G1606-1750 -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53-44B8-9843-D7E668BEB3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3.8486499994178303E-2</c:v>
                </c:pt>
                <c:pt idx="2">
                  <c:v>6.8605499996920116E-2</c:v>
                </c:pt>
                <c:pt idx="3">
                  <c:v>6.5106000001833308E-2</c:v>
                </c:pt>
                <c:pt idx="4">
                  <c:v>6.9279999996069819E-2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53-44B8-9843-D7E668BEB3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53-44B8-9843-D7E668BEB3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6.1053000012179837E-2</c:v>
                </c:pt>
                <c:pt idx="6">
                  <c:v>6.7727500078035519E-2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53-44B8-9843-D7E668BEB3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53-44B8-9843-D7E668BEB3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53-44B8-9843-D7E668BEB3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5.0000000000000001E-3</c:v>
                  </c:pt>
                  <c:pt idx="3">
                    <c:v>8.0000000000000002E-3</c:v>
                  </c:pt>
                  <c:pt idx="4">
                    <c:v>6.0000000000000001E-3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53-44B8-9843-D7E668BEB3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5.6674160658397379E-3</c:v>
                </c:pt>
                <c:pt idx="1">
                  <c:v>4.1828501157366929E-2</c:v>
                </c:pt>
                <c:pt idx="2">
                  <c:v>5.7602824751599273E-2</c:v>
                </c:pt>
                <c:pt idx="3">
                  <c:v>5.78489641292569E-2</c:v>
                </c:pt>
                <c:pt idx="4">
                  <c:v>5.7891770977545186E-2</c:v>
                </c:pt>
                <c:pt idx="5">
                  <c:v>7.4565038385831478E-2</c:v>
                </c:pt>
                <c:pt idx="6">
                  <c:v>7.4853984611777391E-2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53-44B8-9843-D7E668BEB34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1689.5</c:v>
                </c:pt>
                <c:pt idx="2">
                  <c:v>2426.5</c:v>
                </c:pt>
                <c:pt idx="3">
                  <c:v>2438</c:v>
                </c:pt>
                <c:pt idx="4">
                  <c:v>2440</c:v>
                </c:pt>
                <c:pt idx="5">
                  <c:v>3219</c:v>
                </c:pt>
                <c:pt idx="6">
                  <c:v>3232.5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53-44B8-9843-D7E668BEB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69632"/>
        <c:axId val="1"/>
      </c:scatterChart>
      <c:valAx>
        <c:axId val="82496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6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003EFC-CB1A-9384-A444-D6599AFA1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style="2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46" t="s">
        <v>51</v>
      </c>
      <c r="F1" s="33" t="s">
        <v>42</v>
      </c>
      <c r="G1" s="34" t="s">
        <v>43</v>
      </c>
      <c r="H1" s="34">
        <v>1</v>
      </c>
      <c r="I1" s="35" t="s">
        <v>42</v>
      </c>
      <c r="J1" s="36" t="s">
        <v>42</v>
      </c>
      <c r="K1" s="37">
        <v>19.383268999999999</v>
      </c>
      <c r="L1" s="37">
        <v>17.063285</v>
      </c>
      <c r="M1" s="38">
        <v>54392.535000000003</v>
      </c>
      <c r="N1" s="38">
        <v>1.4749129999999999</v>
      </c>
      <c r="O1" s="37"/>
    </row>
    <row r="2" spans="1:15" x14ac:dyDescent="0.2">
      <c r="A2" t="s">
        <v>23</v>
      </c>
      <c r="B2" s="2" t="s">
        <v>50</v>
      </c>
      <c r="C2" s="29"/>
      <c r="D2" s="2" t="s">
        <v>44</v>
      </c>
    </row>
    <row r="3" spans="1:15" ht="13.5" thickBot="1" x14ac:dyDescent="0.25"/>
    <row r="4" spans="1:15" ht="14.25" thickTop="1" thickBot="1" x14ac:dyDescent="0.25">
      <c r="A4" s="4" t="s">
        <v>0</v>
      </c>
      <c r="C4" s="26" t="s">
        <v>37</v>
      </c>
      <c r="D4" s="27" t="s">
        <v>37</v>
      </c>
    </row>
    <row r="5" spans="1:15" ht="13.5" thickTop="1" x14ac:dyDescent="0.2">
      <c r="A5" s="8" t="s">
        <v>28</v>
      </c>
      <c r="B5" s="42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54392.535000000003</v>
      </c>
      <c r="D7" s="30" t="s">
        <v>45</v>
      </c>
    </row>
    <row r="8" spans="1:15" x14ac:dyDescent="0.2">
      <c r="A8" t="s">
        <v>3</v>
      </c>
      <c r="C8" s="7">
        <v>1.4749129999999999</v>
      </c>
      <c r="D8" s="28" t="s">
        <v>45</v>
      </c>
    </row>
    <row r="9" spans="1:15" x14ac:dyDescent="0.2">
      <c r="A9" s="23" t="s">
        <v>32</v>
      </c>
      <c r="C9" s="24">
        <v>21</v>
      </c>
      <c r="D9" s="21" t="s">
        <v>53</v>
      </c>
      <c r="E9" s="22" t="str">
        <f>"G"&amp;C9</f>
        <v>G21</v>
      </c>
    </row>
    <row r="10" spans="1:15" ht="13.5" thickBot="1" x14ac:dyDescent="0.25">
      <c r="A10" s="9"/>
      <c r="B10" s="42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42"/>
      <c r="C11" s="20">
        <f ca="1">INTERCEPT(INDIRECT($E$9):G992,INDIRECT($D$9):F992)</f>
        <v>5.6674160658397379E-3</v>
      </c>
      <c r="D11" s="2"/>
      <c r="E11" s="9"/>
    </row>
    <row r="12" spans="1:15" x14ac:dyDescent="0.2">
      <c r="A12" s="9" t="s">
        <v>16</v>
      </c>
      <c r="B12" s="42"/>
      <c r="C12" s="20">
        <f ca="1">SLOPE(INDIRECT($E$9):G992,INDIRECT($D$9):F992)</f>
        <v>2.1403424144141577E-5</v>
      </c>
      <c r="D12" s="2"/>
      <c r="E12" s="9"/>
    </row>
    <row r="13" spans="1:15" x14ac:dyDescent="0.2">
      <c r="A13" s="9" t="s">
        <v>18</v>
      </c>
      <c r="B13" s="42"/>
      <c r="C13" s="2" t="s">
        <v>13</v>
      </c>
    </row>
    <row r="14" spans="1:15" x14ac:dyDescent="0.2">
      <c r="A14" s="9"/>
      <c r="B14" s="42"/>
      <c r="C14" s="9"/>
    </row>
    <row r="15" spans="1:15" x14ac:dyDescent="0.2">
      <c r="A15" s="11" t="s">
        <v>17</v>
      </c>
      <c r="B15" s="42"/>
      <c r="C15" s="12">
        <f ca="1">(C7+C11)+(C8+C12)*INT(MAX(F21:F3533))</f>
        <v>59159.528659282907</v>
      </c>
      <c r="E15" s="13" t="s">
        <v>34</v>
      </c>
      <c r="F15" s="31">
        <v>1</v>
      </c>
    </row>
    <row r="16" spans="1:15" x14ac:dyDescent="0.2">
      <c r="A16" s="15" t="s">
        <v>4</v>
      </c>
      <c r="B16" s="42"/>
      <c r="C16" s="16">
        <f ca="1">+C8+C12</f>
        <v>1.4749344034241441</v>
      </c>
      <c r="E16" s="13" t="s">
        <v>30</v>
      </c>
      <c r="F16" s="32">
        <f ca="1">NOW()+15018.5+$C$5/24</f>
        <v>59968.795627662032</v>
      </c>
    </row>
    <row r="17" spans="1:21" ht="13.5" thickBot="1" x14ac:dyDescent="0.25">
      <c r="A17" s="13" t="s">
        <v>27</v>
      </c>
      <c r="B17" s="42"/>
      <c r="C17" s="9">
        <f>COUNT(C21:C2191)</f>
        <v>7</v>
      </c>
      <c r="E17" s="13" t="s">
        <v>35</v>
      </c>
      <c r="F17" s="14">
        <f ca="1">ROUND(2*(F16-$C$7)/$C$8,0)/2+F15</f>
        <v>3781.5</v>
      </c>
    </row>
    <row r="18" spans="1:21" ht="14.25" thickTop="1" thickBot="1" x14ac:dyDescent="0.25">
      <c r="A18" s="15" t="s">
        <v>5</v>
      </c>
      <c r="B18" s="42"/>
      <c r="C18" s="18">
        <f ca="1">+C15</f>
        <v>59159.528659282907</v>
      </c>
      <c r="D18" s="19">
        <f ca="1">+C16</f>
        <v>1.4749344034241441</v>
      </c>
      <c r="E18" s="13" t="s">
        <v>36</v>
      </c>
      <c r="F18" s="22">
        <f ca="1">ROUND(2*(F16-$C$15)/$C$16,0)/2+F15</f>
        <v>549.5</v>
      </c>
    </row>
    <row r="19" spans="1:21" ht="13.5" thickTop="1" x14ac:dyDescent="0.2">
      <c r="E19" s="13" t="s">
        <v>31</v>
      </c>
      <c r="F19" s="17">
        <f ca="1">+$C$15+$C$16*F18-15018.5-$C$5/24</f>
        <v>44951.900947297807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x14ac:dyDescent="0.2">
      <c r="A21" t="s">
        <v>45</v>
      </c>
      <c r="C21" s="7">
        <v>54392.535000000003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5.6674160658397379E-3</v>
      </c>
      <c r="Q21" s="1">
        <f>+C21-15018.5</f>
        <v>39374.035000000003</v>
      </c>
    </row>
    <row r="22" spans="1:21" x14ac:dyDescent="0.2">
      <c r="A22" s="39" t="s">
        <v>46</v>
      </c>
      <c r="B22" s="40" t="s">
        <v>47</v>
      </c>
      <c r="C22" s="41">
        <v>56884.438999999998</v>
      </c>
      <c r="D22" s="41">
        <v>6.0000000000000001E-3</v>
      </c>
      <c r="E22">
        <f>+(C22-C$7)/C$8</f>
        <v>1689.526094081478</v>
      </c>
      <c r="F22">
        <f>ROUND(2*E22,0)/2</f>
        <v>1689.5</v>
      </c>
      <c r="G22">
        <f>+C22-(C$7+F22*C$8)</f>
        <v>3.8486499994178303E-2</v>
      </c>
      <c r="I22">
        <f>+G22</f>
        <v>3.8486499994178303E-2</v>
      </c>
      <c r="O22">
        <f ca="1">+C$11+C$12*$F22</f>
        <v>4.1828501157366929E-2</v>
      </c>
      <c r="Q22" s="1">
        <f>+C22-15018.5</f>
        <v>41865.938999999998</v>
      </c>
    </row>
    <row r="23" spans="1:21" x14ac:dyDescent="0.2">
      <c r="A23" s="22" t="s">
        <v>48</v>
      </c>
      <c r="B23" s="2" t="s">
        <v>47</v>
      </c>
      <c r="C23" s="7">
        <v>57971.48</v>
      </c>
      <c r="D23" s="7">
        <v>5.0000000000000001E-3</v>
      </c>
      <c r="E23">
        <f>+(C23-C$7)/C$8</f>
        <v>2426.5465149469833</v>
      </c>
      <c r="F23">
        <f>ROUND(2*E23,0)/2</f>
        <v>2426.5</v>
      </c>
      <c r="G23">
        <f>+C23-(C$7+F23*C$8)</f>
        <v>6.8605499996920116E-2</v>
      </c>
      <c r="I23">
        <f>+G23</f>
        <v>6.8605499996920116E-2</v>
      </c>
      <c r="O23">
        <f ca="1">+C$11+C$12*$F23</f>
        <v>5.7602824751599273E-2</v>
      </c>
      <c r="Q23" s="1">
        <f>+C23-15018.5</f>
        <v>42952.98</v>
      </c>
    </row>
    <row r="24" spans="1:21" x14ac:dyDescent="0.2">
      <c r="A24" s="22" t="s">
        <v>48</v>
      </c>
      <c r="B24" s="2" t="s">
        <v>49</v>
      </c>
      <c r="C24" s="7">
        <v>57988.438000000002</v>
      </c>
      <c r="D24" s="7">
        <v>8.0000000000000002E-3</v>
      </c>
      <c r="E24">
        <f>+(C24-C$7)/C$8</f>
        <v>2438.0441422646613</v>
      </c>
      <c r="F24">
        <f>ROUND(2*E24,0)/2</f>
        <v>2438</v>
      </c>
      <c r="G24">
        <f>+C24-(C$7+F24*C$8)</f>
        <v>6.5106000001833308E-2</v>
      </c>
      <c r="I24">
        <f>+G24</f>
        <v>6.5106000001833308E-2</v>
      </c>
      <c r="O24">
        <f ca="1">+C$11+C$12*$F24</f>
        <v>5.78489641292569E-2</v>
      </c>
      <c r="Q24" s="1">
        <f>+C24-15018.5</f>
        <v>42969.938000000002</v>
      </c>
    </row>
    <row r="25" spans="1:21" x14ac:dyDescent="0.2">
      <c r="A25" s="22" t="s">
        <v>48</v>
      </c>
      <c r="B25" s="2" t="s">
        <v>49</v>
      </c>
      <c r="C25" s="7">
        <v>57991.392</v>
      </c>
      <c r="D25" s="7">
        <v>6.0000000000000001E-3</v>
      </c>
      <c r="E25">
        <f>+(C25-C$7)/C$8</f>
        <v>2440.0469722620905</v>
      </c>
      <c r="F25">
        <f>ROUND(2*E25,0)/2</f>
        <v>2440</v>
      </c>
      <c r="G25">
        <f>+C25-(C$7+F25*C$8)</f>
        <v>6.9279999996069819E-2</v>
      </c>
      <c r="I25">
        <f>+G25</f>
        <v>6.9279999996069819E-2</v>
      </c>
      <c r="O25">
        <f ca="1">+C$11+C$12*$F25</f>
        <v>5.7891770977545186E-2</v>
      </c>
      <c r="Q25" s="1">
        <f>+C25-15018.5</f>
        <v>42972.892</v>
      </c>
    </row>
    <row r="26" spans="1:21" x14ac:dyDescent="0.2">
      <c r="A26" s="43" t="s">
        <v>52</v>
      </c>
      <c r="B26" s="44" t="s">
        <v>49</v>
      </c>
      <c r="C26" s="45">
        <v>59140.341000000015</v>
      </c>
      <c r="D26" s="43">
        <v>5.0000000000000001E-3</v>
      </c>
      <c r="E26">
        <f t="shared" ref="E26:E27" si="0">+(C26-C$7)/C$8</f>
        <v>3219.0413943059771</v>
      </c>
      <c r="F26">
        <f t="shared" ref="F26:F27" si="1">ROUND(2*E26,0)/2</f>
        <v>3219</v>
      </c>
      <c r="G26">
        <f t="shared" ref="G26:G27" si="2">+C26-(C$7+F26*C$8)</f>
        <v>6.1053000012179837E-2</v>
      </c>
      <c r="K26">
        <f>+G26</f>
        <v>6.1053000012179837E-2</v>
      </c>
      <c r="O26">
        <f t="shared" ref="O26:O27" ca="1" si="3">+C$11+C$12*$F26</f>
        <v>7.4565038385831478E-2</v>
      </c>
      <c r="Q26" s="1">
        <f t="shared" ref="Q26:Q27" si="4">+C26-15018.5</f>
        <v>44121.841000000015</v>
      </c>
    </row>
    <row r="27" spans="1:21" x14ac:dyDescent="0.2">
      <c r="A27" s="43" t="s">
        <v>52</v>
      </c>
      <c r="B27" s="44" t="s">
        <v>47</v>
      </c>
      <c r="C27" s="45">
        <v>59160.259000000078</v>
      </c>
      <c r="D27" s="43">
        <v>5.0000000000000001E-3</v>
      </c>
      <c r="E27">
        <f t="shared" si="0"/>
        <v>3232.5459196576849</v>
      </c>
      <c r="F27">
        <f t="shared" si="1"/>
        <v>3232.5</v>
      </c>
      <c r="G27">
        <f t="shared" si="2"/>
        <v>6.7727500078035519E-2</v>
      </c>
      <c r="K27">
        <f>+G27</f>
        <v>6.7727500078035519E-2</v>
      </c>
      <c r="O27">
        <f t="shared" ca="1" si="3"/>
        <v>7.4853984611777391E-2</v>
      </c>
      <c r="Q27" s="1">
        <f t="shared" si="4"/>
        <v>44141.759000000078</v>
      </c>
    </row>
    <row r="28" spans="1:21" x14ac:dyDescent="0.2">
      <c r="C28" s="7"/>
      <c r="D28" s="7"/>
      <c r="Q28" s="1"/>
    </row>
    <row r="29" spans="1:21" x14ac:dyDescent="0.2">
      <c r="C29" s="7"/>
      <c r="D29" s="7"/>
      <c r="Q29" s="1"/>
    </row>
    <row r="30" spans="1:21" x14ac:dyDescent="0.2">
      <c r="C30" s="7"/>
      <c r="D30" s="7"/>
      <c r="Q30" s="1"/>
    </row>
    <row r="31" spans="1:21" x14ac:dyDescent="0.2">
      <c r="C31" s="7"/>
      <c r="D31" s="7"/>
      <c r="Q31" s="1"/>
    </row>
    <row r="32" spans="1:21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2023-01-24T06:05:42Z</dcterms:modified>
</cp:coreProperties>
</file>