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C995568-560C-484A-8120-A62943970C4F}" xr6:coauthVersionLast="47" xr6:coauthVersionMax="47" xr10:uidLastSave="{00000000-0000-0000-0000-000000000000}"/>
  <bookViews>
    <workbookView xWindow="13830" yWindow="780" windowWidth="12975" windowHeight="14640"/>
  </bookViews>
  <sheets>
    <sheet name="Active" sheetId="1" r:id="rId1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1" i="1" l="1"/>
  <c r="D12" i="1"/>
  <c r="D13" i="1"/>
  <c r="W3" i="1" s="1"/>
  <c r="Q25" i="1"/>
  <c r="E25" i="1"/>
  <c r="F25" i="1" s="1"/>
  <c r="D9" i="1"/>
  <c r="C9" i="1"/>
  <c r="W11" i="1"/>
  <c r="E24" i="1"/>
  <c r="F24" i="1" s="1"/>
  <c r="E22" i="1"/>
  <c r="F22" i="1"/>
  <c r="P22" i="1" s="1"/>
  <c r="E23" i="1"/>
  <c r="F23" i="1" s="1"/>
  <c r="Q24" i="1"/>
  <c r="Q23" i="1"/>
  <c r="Q22" i="1"/>
  <c r="C21" i="1"/>
  <c r="Q21" i="1" s="1"/>
  <c r="F16" i="1"/>
  <c r="F17" i="1" s="1"/>
  <c r="W4" i="1"/>
  <c r="W13" i="1"/>
  <c r="W5" i="1"/>
  <c r="W14" i="1"/>
  <c r="W19" i="1"/>
  <c r="W6" i="1"/>
  <c r="W7" i="1"/>
  <c r="D14" i="1"/>
  <c r="W18" i="1"/>
  <c r="W8" i="1"/>
  <c r="W17" i="1"/>
  <c r="W16" i="1"/>
  <c r="W9" i="1"/>
  <c r="W2" i="1"/>
  <c r="W10" i="1"/>
  <c r="W12" i="1" l="1"/>
  <c r="W15" i="1"/>
  <c r="G23" i="1"/>
  <c r="K23" i="1" s="1"/>
  <c r="P23" i="1"/>
  <c r="R23" i="1" s="1"/>
  <c r="T23" i="1" s="1"/>
  <c r="R22" i="1"/>
  <c r="T22" i="1" s="1"/>
  <c r="G25" i="1"/>
  <c r="K25" i="1" s="1"/>
  <c r="P25" i="1"/>
  <c r="G24" i="1"/>
  <c r="K24" i="1" s="1"/>
  <c r="P24" i="1"/>
  <c r="G22" i="1"/>
  <c r="K22" i="1" s="1"/>
  <c r="C17" i="1"/>
  <c r="E21" i="1"/>
  <c r="F21" i="1" s="1"/>
  <c r="P21" i="1" s="1"/>
  <c r="D16" i="1"/>
  <c r="D19" i="1" s="1"/>
  <c r="D15" i="1"/>
  <c r="C19" i="1" s="1"/>
  <c r="C11" i="1"/>
  <c r="C12" i="1"/>
  <c r="R25" i="1" l="1"/>
  <c r="T25" i="1" s="1"/>
  <c r="G21" i="1"/>
  <c r="I21" i="1" s="1"/>
  <c r="R24" i="1"/>
  <c r="T24" i="1" s="1"/>
  <c r="R21" i="1"/>
  <c r="T21" i="1" s="1"/>
  <c r="C16" i="1"/>
  <c r="D18" i="1" s="1"/>
  <c r="O25" i="1"/>
  <c r="C15" i="1"/>
  <c r="C18" i="1" s="1"/>
  <c r="O24" i="1"/>
  <c r="O22" i="1"/>
  <c r="O23" i="1"/>
  <c r="E14" i="1" l="1"/>
  <c r="F18" i="1"/>
  <c r="F19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<sst xmlns="http://schemas.openxmlformats.org/spreadsheetml/2006/main" count="60" uniqueCount="55">
  <si>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</si>
  <si>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</si>
  <si>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</si>
  <si>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</si>
  <si>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</si>
  <si>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</si>
  <si>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</si>
  <si>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</si>
  <si>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</si>
  <si>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</si>
  <si>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</si>
  <si>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</si>
  <si>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</si>
  <si>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</si>
  <si>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</si>
  <si>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</si>
  <si>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</si>
  <si>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</si>
  <si>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</si>
  <si>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</si>
  <si>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</si>
  <si>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</si>
  <si>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</si>
  <si>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</si>
  <si>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</si>
  <si>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</si>
  <si>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</si>
  <si>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</si>
  <si>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</si>
  <si>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</si>
  <si>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</si>
  <si>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</si>
  <si>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</si>
  <si>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</si>
  <si>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</si>
  <si>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</si>
  <si>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</si>
  <si>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</si>
  <si>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2093-1834</t>
  </si>
  <si>
    <t>Her</t>
  </si>
  <si>
    <t>EB</t>
  </si>
  <si>
    <t>IBVS 6029</t>
  </si>
  <si>
    <t>I</t>
  </si>
  <si>
    <t>IBVS 6154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</si>
  <si>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</si>
  <si>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</si>
  <si>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</si>
  <si>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</si>
  <si>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</si>
  <si>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IBVS 6262</t>
  </si>
  <si>
    <t>RHN 2020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</si>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</sst>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Fill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72" fontId="5" fillId="0" borderId="0" xfId="0" applyNumberFormat="1" applyFont="1" applyAlignment="1">
      <alignment horizontal="left"/>
    </xf>
    <xf numFmtId="0" fontId="19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4" fillId="0" borderId="0" xfId="0" applyFont="1" applyAlignment="1"/>
    <xf numFmtId="14" fontId="19" fillId="0" borderId="0" xfId="0" applyNumberFormat="1" applyFont="1" applyAlignment="1"/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2093-1834 - O-C Diagr.</a:t>
            </a:r>
          </a:p>
        </c:rich>
      </c:tx>
      <c:layout>
        <c:manualLayout>
          <c:xMode val="edge"/>
          <c:yMode val="edge"/>
          <c:x val="0.34135338345864663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2406015037593983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E-4EB4-BFEC-1F594C9EB0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E-4EB4-BFEC-1F594C9EB0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8E-4EB4-BFEC-1F594C9EB0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-4.0399999998044223E-3</c:v>
                </c:pt>
                <c:pt idx="2">
                  <c:v>-1.0689999995520338E-2</c:v>
                </c:pt>
                <c:pt idx="3">
                  <c:v>-2.260000000387663E-2</c:v>
                </c:pt>
                <c:pt idx="4">
                  <c:v>-3.2240000000456348E-2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8E-4EB4-BFEC-1F594C9EB0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8E-4EB4-BFEC-1F594C9EB0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8E-4EB4-BFEC-1F594C9EB0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8E-4EB4-BFEC-1F594C9EB0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1">
                  <c:v>2.4710263322607964E-3</c:v>
                </c:pt>
                <c:pt idx="2">
                  <c:v>-1.0421994686082538E-2</c:v>
                </c:pt>
                <c:pt idx="3">
                  <c:v>-2.3269872073409265E-2</c:v>
                </c:pt>
                <c:pt idx="4">
                  <c:v>-3.1838133240361513E-2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8E-4EB4-BFEC-1F594C9EB0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8E-4EB4-BFEC-1F594C9EB0F1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Active!$V$2:$V$24</c:f>
              <c:numCache>
                <c:formatCode>General</c:formatCode>
                <c:ptCount val="23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</c:numCache>
            </c:numRef>
          </c:xVal>
          <c:yVal>
            <c:numRef>
              <c:f>Active!$W$2:$W$24</c:f>
              <c:numCache>
                <c:formatCode>General</c:formatCode>
                <c:ptCount val="23"/>
                <c:pt idx="0">
                  <c:v>-7.2900258741501338E-5</c:v>
                </c:pt>
                <c:pt idx="1">
                  <c:v>4.1454054429302631E-4</c:v>
                </c:pt>
                <c:pt idx="2">
                  <c:v>4.313736489798927E-4</c:v>
                </c:pt>
                <c:pt idx="3">
                  <c:v>-2.2400944680901758E-5</c:v>
                </c:pt>
                <c:pt idx="4">
                  <c:v>-9.4678323668935744E-4</c:v>
                </c:pt>
                <c:pt idx="5">
                  <c:v>-2.3417732270454741E-3</c:v>
                </c:pt>
                <c:pt idx="6">
                  <c:v>-4.2073709157492527E-3</c:v>
                </c:pt>
                <c:pt idx="7">
                  <c:v>-6.5435763028006905E-3</c:v>
                </c:pt>
                <c:pt idx="8">
                  <c:v>-9.3503893881997924E-3</c:v>
                </c:pt>
                <c:pt idx="9">
                  <c:v>-1.2627810171946552E-2</c:v>
                </c:pt>
                <c:pt idx="10">
                  <c:v>-1.6375838654040974E-2</c:v>
                </c:pt>
                <c:pt idx="11">
                  <c:v>-2.0594474834483057E-2</c:v>
                </c:pt>
                <c:pt idx="12">
                  <c:v>-2.5283718713272806E-2</c:v>
                </c:pt>
                <c:pt idx="13">
                  <c:v>-3.0443570290410209E-2</c:v>
                </c:pt>
                <c:pt idx="14">
                  <c:v>-3.6074029565895276E-2</c:v>
                </c:pt>
                <c:pt idx="15">
                  <c:v>-4.2175096539728001E-2</c:v>
                </c:pt>
                <c:pt idx="16">
                  <c:v>-4.8746771211908395E-2</c:v>
                </c:pt>
                <c:pt idx="17">
                  <c:v>-5.5789053582436438E-2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8E-4EB4-BFEC-1F594C9EB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17416"/>
        <c:axId val="1"/>
      </c:scatterChart>
      <c:valAx>
        <c:axId val="44971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17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248120300752"/>
          <c:y val="0.92441860465116277"/>
          <c:w val="0.80451127819548884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670884-426D-F9E9-BFFD-F0EDA65C1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39"/>
  <sheetViews>
    <sheetView tabSelected="1" workbookViewId="0">
      <selection activeCell="A25" sqref="A25:IV2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3" customWidth="1"/>
  </cols>
  <sheetData>
    <row r="1" spans="1:23" ht="21" thickBot="1" x14ac:dyDescent="0.35">
      <c r="A1" s="1" t="s">
        <v>38</v>
      </c>
      <c r="V1" s="4" t="s">
        <v>9</v>
      </c>
      <c r="W1" s="6" t="s">
        <v>20</v>
      </c>
    </row>
    <row r="2" spans="1:23" x14ac:dyDescent="0.2">
      <c r="A2" t="s">
        <v>22</v>
      </c>
      <c r="B2" t="s">
        <v>40</v>
      </c>
      <c r="C2" s="3"/>
      <c r="D2" s="3" t="s">
        <v>39</v>
      </c>
      <c r="V2" s="36">
        <v>0</v>
      </c>
      <c r="W2" s="36">
        <f t="shared" ref="W2:W14" si="0">+D$11+D$12*V2+D$13*V2^2</f>
        <v>-7.2900258741501338E-5</v>
      </c>
    </row>
    <row r="3" spans="1:23" ht="13.5" thickBot="1" x14ac:dyDescent="0.25">
      <c r="V3" s="36">
        <v>500</v>
      </c>
      <c r="W3" s="36">
        <f t="shared" si="0"/>
        <v>4.1454054429302631E-4</v>
      </c>
    </row>
    <row r="4" spans="1:23" ht="14.25" thickTop="1" thickBot="1" x14ac:dyDescent="0.25">
      <c r="A4" s="5" t="s">
        <v>0</v>
      </c>
      <c r="C4" s="25" t="s">
        <v>36</v>
      </c>
      <c r="D4" s="26" t="s">
        <v>36</v>
      </c>
      <c r="V4" s="36">
        <v>1000</v>
      </c>
      <c r="W4" s="36">
        <f t="shared" si="0"/>
        <v>4.313736489798927E-4</v>
      </c>
    </row>
    <row r="5" spans="1:23" ht="13.5" thickTop="1" x14ac:dyDescent="0.2">
      <c r="A5" s="9" t="s">
        <v>27</v>
      </c>
      <c r="B5" s="10"/>
      <c r="C5" s="11">
        <v>-9.5</v>
      </c>
      <c r="D5" s="10" t="s">
        <v>28</v>
      </c>
      <c r="V5" s="36">
        <v>1500</v>
      </c>
      <c r="W5" s="36">
        <f t="shared" si="0"/>
        <v>-2.2400944680901758E-5</v>
      </c>
    </row>
    <row r="6" spans="1:23" x14ac:dyDescent="0.2">
      <c r="A6" s="5" t="s">
        <v>1</v>
      </c>
      <c r="V6" s="36">
        <v>2000</v>
      </c>
      <c r="W6" s="36">
        <f t="shared" si="0"/>
        <v>-9.4678323668935744E-4</v>
      </c>
    </row>
    <row r="7" spans="1:23" x14ac:dyDescent="0.2">
      <c r="A7" t="s">
        <v>2</v>
      </c>
      <c r="C7" s="8">
        <v>53894.703999999998</v>
      </c>
      <c r="D7" s="27" t="s">
        <v>37</v>
      </c>
      <c r="V7" s="36">
        <v>2500</v>
      </c>
      <c r="W7" s="36">
        <f t="shared" si="0"/>
        <v>-2.3417732270454741E-3</v>
      </c>
    </row>
    <row r="8" spans="1:23" x14ac:dyDescent="0.2">
      <c r="A8" t="s">
        <v>3</v>
      </c>
      <c r="C8" s="8">
        <v>0.76395999999999997</v>
      </c>
      <c r="D8" s="27" t="s">
        <v>37</v>
      </c>
      <c r="V8" s="36">
        <v>3000</v>
      </c>
      <c r="W8" s="36">
        <f t="shared" si="0"/>
        <v>-4.2073709157492527E-3</v>
      </c>
    </row>
    <row r="9" spans="1:23" x14ac:dyDescent="0.2">
      <c r="A9" s="22" t="s">
        <v>31</v>
      </c>
      <c r="B9" s="23">
        <v>23</v>
      </c>
      <c r="C9" s="20" t="str">
        <f>"F"&amp;B9</f>
        <v>F23</v>
      </c>
      <c r="D9" s="21" t="str">
        <f>"G"&amp;B9</f>
        <v>G23</v>
      </c>
      <c r="V9" s="36">
        <v>3500</v>
      </c>
      <c r="W9" s="36">
        <f t="shared" si="0"/>
        <v>-6.5435763028006905E-3</v>
      </c>
    </row>
    <row r="10" spans="1:23" ht="13.5" thickBot="1" x14ac:dyDescent="0.25">
      <c r="A10" s="10"/>
      <c r="B10" s="10"/>
      <c r="C10" s="4" t="s">
        <v>18</v>
      </c>
      <c r="D10" s="4" t="s">
        <v>19</v>
      </c>
      <c r="E10" s="10"/>
      <c r="V10" s="36">
        <v>4000</v>
      </c>
      <c r="W10" s="36">
        <f t="shared" si="0"/>
        <v>-9.3503893881997924E-3</v>
      </c>
    </row>
    <row r="11" spans="1:23" x14ac:dyDescent="0.2">
      <c r="A11" s="10" t="s">
        <v>14</v>
      </c>
      <c r="B11" s="10"/>
      <c r="C11" s="19">
        <f ca="1">INTERCEPT(INDIRECT($D$9):G991,INDIRECT($C$9):F991)</f>
        <v>2.8284154547557425E-2</v>
      </c>
      <c r="D11" s="3">
        <f>+E11*F11</f>
        <v>-7.2900258741501338E-5</v>
      </c>
      <c r="E11" s="37">
        <v>-7.2900258741501338E-5</v>
      </c>
      <c r="F11">
        <v>1</v>
      </c>
      <c r="V11" s="36">
        <v>4500</v>
      </c>
      <c r="W11" s="36">
        <f t="shared" si="0"/>
        <v>-1.2627810171946552E-2</v>
      </c>
    </row>
    <row r="12" spans="1:23" x14ac:dyDescent="0.2">
      <c r="A12" s="10" t="s">
        <v>15</v>
      </c>
      <c r="B12" s="10"/>
      <c r="C12" s="19">
        <f ca="1">SLOPE(INDIRECT($D$9):G991,INDIRECT($C$9):F991)</f>
        <v>-9.0287262033216615E-6</v>
      </c>
      <c r="D12" s="3">
        <f>+E12*F12</f>
        <v>1.4454893044167164E-6</v>
      </c>
      <c r="E12" s="38">
        <v>1.4454893044167163E-2</v>
      </c>
      <c r="F12" s="39">
        <v>1E-4</v>
      </c>
      <c r="V12" s="36">
        <v>5000</v>
      </c>
      <c r="W12" s="36">
        <f t="shared" si="0"/>
        <v>-1.6375838654040974E-2</v>
      </c>
    </row>
    <row r="13" spans="1:23" ht="13.5" thickBot="1" x14ac:dyDescent="0.25">
      <c r="A13" s="10" t="s">
        <v>17</v>
      </c>
      <c r="B13" s="10"/>
      <c r="C13" s="3" t="s">
        <v>12</v>
      </c>
      <c r="D13" s="3">
        <f>+E13*F13</f>
        <v>-9.4121539669532222E-10</v>
      </c>
      <c r="E13" s="40">
        <v>-9.4121539669532225E-2</v>
      </c>
      <c r="F13" s="39">
        <v>1E-8</v>
      </c>
      <c r="V13" s="36">
        <v>5500</v>
      </c>
      <c r="W13" s="36">
        <f t="shared" si="0"/>
        <v>-2.0594474834483057E-2</v>
      </c>
    </row>
    <row r="14" spans="1:23" x14ac:dyDescent="0.2">
      <c r="A14" s="10"/>
      <c r="B14" s="10"/>
      <c r="C14" s="10"/>
      <c r="D14">
        <f>2*D13*365.24/C8</f>
        <v>-8.999673058510905E-7</v>
      </c>
      <c r="E14">
        <f>SUM(T21:T949)</f>
        <v>4.1675921694353599E-7</v>
      </c>
      <c r="V14" s="36">
        <v>6000</v>
      </c>
      <c r="W14" s="36">
        <f t="shared" si="0"/>
        <v>-2.5283718713272806E-2</v>
      </c>
    </row>
    <row r="15" spans="1:23" x14ac:dyDescent="0.2">
      <c r="A15" s="12" t="s">
        <v>16</v>
      </c>
      <c r="B15" s="10"/>
      <c r="C15" s="13">
        <f ca="1">(C7+C11)+(C8+C12)*INT(MAX(F21:F3532))</f>
        <v>58981.881801866759</v>
      </c>
      <c r="D15" s="21">
        <f>+C7+INT(MAX(F21:F1587))*C8+D11+D12*INT(MAX(F21:F4022))+D13*INT(MAX(F21:F4049)^2)</f>
        <v>58981.881456975425</v>
      </c>
      <c r="E15" s="14" t="s">
        <v>33</v>
      </c>
      <c r="F15" s="11">
        <v>1</v>
      </c>
      <c r="V15" s="36">
        <v>6500</v>
      </c>
      <c r="W15" s="36">
        <f>+D$11+D$12*V15+D$13*V15^2</f>
        <v>-3.0443570290410209E-2</v>
      </c>
    </row>
    <row r="16" spans="1:23" x14ac:dyDescent="0.2">
      <c r="A16" s="16" t="s">
        <v>4</v>
      </c>
      <c r="B16" s="10"/>
      <c r="C16" s="17">
        <f ca="1">+C8+C12</f>
        <v>0.76395097127379663</v>
      </c>
      <c r="D16" s="21">
        <f>+C8+D12+2*D13*MAX(F21:F895)</f>
        <v>0.76394891038265111</v>
      </c>
      <c r="E16" s="14" t="s">
        <v>29</v>
      </c>
      <c r="F16" s="15">
        <f ca="1">NOW()+15018.5+$C$5/24</f>
        <v>59958.798385763883</v>
      </c>
      <c r="V16" s="36">
        <v>7000</v>
      </c>
      <c r="W16" s="36">
        <f>+D$11+D$12*V16+D$13*V16^2</f>
        <v>-3.6074029565895276E-2</v>
      </c>
    </row>
    <row r="17" spans="1:23" ht="13.5" thickBot="1" x14ac:dyDescent="0.25">
      <c r="A17" s="14" t="s">
        <v>26</v>
      </c>
      <c r="B17" s="10"/>
      <c r="C17" s="10">
        <f>COUNT(C21:C2190)</f>
        <v>5</v>
      </c>
      <c r="E17" s="14" t="s">
        <v>34</v>
      </c>
      <c r="F17" s="15">
        <f ca="1">ROUND(2*(F16-$C$7)/$C$8,0)/2+F15</f>
        <v>7938.5</v>
      </c>
      <c r="V17" s="36">
        <v>7500</v>
      </c>
      <c r="W17" s="36">
        <f>+D$11+D$12*V17+D$13*V17^2</f>
        <v>-4.2175096539728001E-2</v>
      </c>
    </row>
    <row r="18" spans="1:23" ht="14.25" thickTop="1" thickBot="1" x14ac:dyDescent="0.25">
      <c r="A18" s="5" t="s">
        <v>44</v>
      </c>
      <c r="C18" s="41">
        <f ca="1">+C15</f>
        <v>58981.881801866759</v>
      </c>
      <c r="D18" s="42">
        <f ca="1">C16</f>
        <v>0.76395097127379663</v>
      </c>
      <c r="E18" s="14" t="s">
        <v>35</v>
      </c>
      <c r="F18" s="21">
        <f ca="1">ROUND(2*(F16-$C$15)/$C$16,0)/2+F15</f>
        <v>1280</v>
      </c>
      <c r="V18" s="36">
        <v>8000</v>
      </c>
      <c r="W18" s="36">
        <f>+D$11+D$12*V18+D$13*V18^2</f>
        <v>-4.8746771211908395E-2</v>
      </c>
    </row>
    <row r="19" spans="1:23" ht="13.5" thickBot="1" x14ac:dyDescent="0.25">
      <c r="A19" s="5" t="s">
        <v>45</v>
      </c>
      <c r="C19" s="43">
        <f>+D15</f>
        <v>58981.881456975425</v>
      </c>
      <c r="D19" s="44">
        <f>+D16</f>
        <v>0.76394891038265111</v>
      </c>
      <c r="E19" s="14" t="s">
        <v>30</v>
      </c>
      <c r="F19" s="18">
        <f ca="1">+$C$15+$C$16*F18-15018.5-$C$5/24</f>
        <v>44941.634878430552</v>
      </c>
      <c r="V19" s="36">
        <v>8500</v>
      </c>
      <c r="W19" s="36">
        <f>+D$11+D$12*V19+D$13*V19^2</f>
        <v>-5.5789053582436438E-2</v>
      </c>
    </row>
    <row r="20" spans="1:23" ht="1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51</v>
      </c>
      <c r="I20" s="7" t="s">
        <v>52</v>
      </c>
      <c r="J20" s="7" t="s">
        <v>53</v>
      </c>
      <c r="K20" s="7" t="s">
        <v>54</v>
      </c>
      <c r="L20" s="7" t="s">
        <v>23</v>
      </c>
      <c r="M20" s="7" t="s">
        <v>24</v>
      </c>
      <c r="N20" s="7" t="s">
        <v>25</v>
      </c>
      <c r="O20" s="7" t="s">
        <v>21</v>
      </c>
      <c r="P20" s="45" t="s">
        <v>20</v>
      </c>
      <c r="Q20" s="4" t="s">
        <v>13</v>
      </c>
      <c r="R20" s="46" t="s">
        <v>46</v>
      </c>
      <c r="S20" s="6" t="s">
        <v>47</v>
      </c>
      <c r="T20" s="46" t="s">
        <v>48</v>
      </c>
      <c r="U20" s="24" t="s">
        <v>32</v>
      </c>
    </row>
    <row r="21" spans="1:23" x14ac:dyDescent="0.2">
      <c r="A21" t="s">
        <v>37</v>
      </c>
      <c r="C21" s="8">
        <f>C7</f>
        <v>53894.703999999998</v>
      </c>
      <c r="D21" s="8"/>
      <c r="E21">
        <f>+(C21-C$7)/C$8</f>
        <v>0</v>
      </c>
      <c r="F21" s="31">
        <f>ROUND(2*E21,0)/2</f>
        <v>0</v>
      </c>
      <c r="G21">
        <f>+C21-(C$7+F21*C$8)</f>
        <v>0</v>
      </c>
      <c r="I21">
        <f>+G21</f>
        <v>0</v>
      </c>
      <c r="P21" s="47">
        <f>+D$11+D$12*F21+D$13*F21^2</f>
        <v>-7.2900258741501338E-5</v>
      </c>
      <c r="Q21" s="48">
        <f>+C21-15018.5</f>
        <v>38876.203999999998</v>
      </c>
      <c r="R21" s="36">
        <f>+(P21-G21)^2</f>
        <v>5.3144477245778423E-9</v>
      </c>
      <c r="S21" s="49">
        <v>1</v>
      </c>
      <c r="T21" s="36">
        <f>+S21*R21</f>
        <v>5.3144477245778423E-9</v>
      </c>
    </row>
    <row r="22" spans="1:23" x14ac:dyDescent="0.2">
      <c r="A22" s="32" t="s">
        <v>41</v>
      </c>
      <c r="B22" s="33" t="s">
        <v>42</v>
      </c>
      <c r="C22" s="32">
        <v>56078.861599999997</v>
      </c>
      <c r="D22" s="32">
        <v>2.0000000000000001E-4</v>
      </c>
      <c r="E22">
        <f>+(C22-C$7)/C$8</f>
        <v>2858.9947117650122</v>
      </c>
      <c r="F22" s="31">
        <f>ROUND(2*E22,0)/2</f>
        <v>2859</v>
      </c>
      <c r="G22">
        <f>+C22-(C$7+F22*C$8)</f>
        <v>-4.0399999998044223E-3</v>
      </c>
      <c r="K22">
        <f>+G22</f>
        <v>-4.0399999998044223E-3</v>
      </c>
      <c r="O22">
        <f ca="1">+C$11+C$12*$F22</f>
        <v>2.4710263322607964E-3</v>
      </c>
      <c r="P22" s="47">
        <f>+D$11+D$12*F22+D$13*F22^2</f>
        <v>-3.6336289853694664E-3</v>
      </c>
      <c r="Q22" s="2">
        <f>+C22-15018.5</f>
        <v>41060.361599999997</v>
      </c>
      <c r="R22" s="36">
        <f>+(P22-G22)^2</f>
        <v>1.6513740137289506E-7</v>
      </c>
      <c r="S22" s="3">
        <v>1</v>
      </c>
      <c r="T22" s="36">
        <f>+S22*R22</f>
        <v>1.6513740137289506E-7</v>
      </c>
    </row>
    <row r="23" spans="1:23" x14ac:dyDescent="0.2">
      <c r="A23" s="34" t="s">
        <v>43</v>
      </c>
      <c r="B23" s="30"/>
      <c r="C23" s="29">
        <v>57169.789830000002</v>
      </c>
      <c r="D23" s="29">
        <v>2.9999999999999997E-4</v>
      </c>
      <c r="E23">
        <f>+(C23-C$7)/C$8</f>
        <v>4286.9860071207968</v>
      </c>
      <c r="F23" s="31">
        <f>ROUND(2*E23,0)/2</f>
        <v>4287</v>
      </c>
      <c r="G23">
        <f>+C23-(C$7+F23*C$8)</f>
        <v>-1.0689999995520338E-2</v>
      </c>
      <c r="K23">
        <f>+G23</f>
        <v>-1.0689999995520338E-2</v>
      </c>
      <c r="O23">
        <f ca="1">+C$11+C$12*$F23</f>
        <v>-1.0421994686082538E-2</v>
      </c>
      <c r="P23" s="47">
        <f>+D$11+D$12*F23+D$13*F23^2</f>
        <v>-1.1174091479655052E-2</v>
      </c>
      <c r="Q23" s="2">
        <f>+C23-15018.5</f>
        <v>42151.289830000002</v>
      </c>
      <c r="R23" s="36">
        <f>+(P23-G23)^2</f>
        <v>2.3434456501175E-7</v>
      </c>
      <c r="S23" s="3">
        <v>1</v>
      </c>
      <c r="T23" s="36">
        <f>+S23*R23</f>
        <v>2.3434456501175E-7</v>
      </c>
    </row>
    <row r="24" spans="1:23" x14ac:dyDescent="0.2">
      <c r="A24" s="34" t="s">
        <v>49</v>
      </c>
      <c r="B24" s="30"/>
      <c r="C24" s="35">
        <v>58256.892999999996</v>
      </c>
      <c r="D24" s="29">
        <v>1E-4</v>
      </c>
      <c r="E24">
        <f>+(C24-C$7)/C$8</f>
        <v>5709.9704172993333</v>
      </c>
      <c r="F24" s="31">
        <f>ROUND(2*E24,0)/2</f>
        <v>5710</v>
      </c>
      <c r="G24">
        <f>+C24-(C$7+F24*C$8)</f>
        <v>-2.260000000387663E-2</v>
      </c>
      <c r="K24">
        <f>+G24</f>
        <v>-2.260000000387663E-2</v>
      </c>
      <c r="O24">
        <f ca="1">+C$11+C$12*$F24</f>
        <v>-2.3269872073409265E-2</v>
      </c>
      <c r="P24" s="47">
        <f>+D$11+D$12*F24+D$13*F24^2</f>
        <v>-2.2506637245916006E-2</v>
      </c>
      <c r="Q24" s="2">
        <f>+C24-15018.5</f>
        <v>43238.392999999996</v>
      </c>
      <c r="R24" s="36">
        <f>+(P24-G24)^2</f>
        <v>8.7166045740141402E-9</v>
      </c>
      <c r="S24" s="3">
        <v>1</v>
      </c>
      <c r="T24" s="36">
        <f>+S24*R24</f>
        <v>8.7166045740141402E-9</v>
      </c>
    </row>
    <row r="25" spans="1:23" x14ac:dyDescent="0.2">
      <c r="A25" s="52" t="s">
        <v>50</v>
      </c>
      <c r="B25" s="28"/>
      <c r="C25" s="50">
        <v>58981.881399999998</v>
      </c>
      <c r="D25" s="51">
        <v>1E-4</v>
      </c>
      <c r="E25">
        <f>+(C25-C$7)/C$8</f>
        <v>6658.9577988376368</v>
      </c>
      <c r="F25" s="31">
        <f>ROUND(2*E25,0)/2</f>
        <v>6659</v>
      </c>
      <c r="G25">
        <f>+C25-(C$7+F25*C$8)</f>
        <v>-3.2240000000456348E-2</v>
      </c>
      <c r="K25">
        <f>+G25</f>
        <v>-3.2240000000456348E-2</v>
      </c>
      <c r="O25">
        <f ca="1">+C$11+C$12*$F25</f>
        <v>-3.1838133240361513E-2</v>
      </c>
      <c r="P25" s="47">
        <f>+D$11+D$12*F25+D$13*F25^2</f>
        <v>-3.2183024582421033E-2</v>
      </c>
      <c r="Q25" s="2">
        <f>+C25-15018.5</f>
        <v>43963.381399999998</v>
      </c>
      <c r="R25" s="36">
        <f>+(P25-G25)^2</f>
        <v>3.2461982602989517E-9</v>
      </c>
      <c r="S25" s="3">
        <v>1</v>
      </c>
      <c r="T25" s="36">
        <f>+S25*R25</f>
        <v>3.2461982602989517E-9</v>
      </c>
    </row>
    <row r="26" spans="1:23" x14ac:dyDescent="0.2">
      <c r="C26" s="8"/>
      <c r="D26" s="8"/>
      <c r="Q26" s="2"/>
    </row>
    <row r="27" spans="1:23" x14ac:dyDescent="0.2">
      <c r="C27" s="8"/>
      <c r="D27" s="8"/>
      <c r="Q27" s="2"/>
    </row>
    <row r="28" spans="1:23" x14ac:dyDescent="0.2">
      <c r="C28" s="8"/>
      <c r="D28" s="8"/>
      <c r="Q28" s="2"/>
    </row>
    <row r="29" spans="1:23" x14ac:dyDescent="0.2">
      <c r="C29" s="8"/>
      <c r="D29" s="8"/>
      <c r="Q29" s="2"/>
    </row>
    <row r="30" spans="1:23" x14ac:dyDescent="0.2">
      <c r="C30" s="8"/>
      <c r="D30" s="8"/>
      <c r="Q30" s="2"/>
    </row>
    <row r="31" spans="1:23" x14ac:dyDescent="0.2">
      <c r="C31" s="8"/>
      <c r="D31" s="8"/>
      <c r="Q31" s="2"/>
    </row>
    <row r="32" spans="1:23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25">
    <sortCondition ref="C21:C25"/>
  </sortState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2023-01-14T06:09:40Z</dcterms:modified>
</cp:coreProperties>
</file>