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88963EF2-BAA4-4411-85F7-F44A4D883536}" xr6:coauthVersionLast="47" xr6:coauthVersionMax="47" xr10:uidLastSave="{00000000-0000-0000-0000-000000000000}"/>
  <bookViews>
    <workbookView xWindow="14730" yWindow="1080" windowWidth="12975" windowHeight="14640"/>
  </bookViews>
  <sheets>
    <sheet name="Active" sheetId="1" r:id="rId1"/>
    <sheet name="A (old)" sheetId="2" r:id="rId2"/>
  </sheets>
  <calcPr calcId="181029"/>
</workbook>
</file>

<file path=xl/calcChain.xml><?xml version="1.0" encoding="utf-8"?>
<calcChain xmlns="http://schemas.openxmlformats.org/spreadsheetml/2006/main">
  <c r="E26" i="1" l="1"/>
  <c r="F26" i="1"/>
  <c r="G26" i="1"/>
  <c r="K26" i="1"/>
  <c r="F22" i="1"/>
  <c r="G22" i="1"/>
  <c r="K22" i="1"/>
  <c r="E22" i="1"/>
  <c r="E23" i="1"/>
  <c r="F23" i="1"/>
  <c r="U23" i="1"/>
  <c r="E24" i="1"/>
  <c r="F24" i="1"/>
  <c r="U24" i="1"/>
  <c r="E25" i="1"/>
  <c r="F25" i="1"/>
  <c r="G25" i="1"/>
  <c r="K25" i="1"/>
  <c r="D9" i="1"/>
  <c r="C9" i="1"/>
  <c r="Q26" i="1"/>
  <c r="E21" i="1"/>
  <c r="F21" i="1"/>
  <c r="G21" i="1"/>
  <c r="K21" i="1"/>
  <c r="Q23" i="1"/>
  <c r="Q24" i="1"/>
  <c r="F11" i="2"/>
  <c r="G11" i="2"/>
  <c r="E14" i="2"/>
  <c r="E15" i="2" s="1"/>
  <c r="C17" i="2"/>
  <c r="C21" i="2"/>
  <c r="E21" i="2"/>
  <c r="F21" i="2"/>
  <c r="G21" i="2"/>
  <c r="H21" i="2"/>
  <c r="Q21" i="2"/>
  <c r="E22" i="2"/>
  <c r="F22" i="2"/>
  <c r="G22" i="2"/>
  <c r="I22" i="2"/>
  <c r="Q22" i="2"/>
  <c r="E23" i="2"/>
  <c r="F23" i="2"/>
  <c r="G23" i="2"/>
  <c r="I23" i="2"/>
  <c r="Q23" i="2"/>
  <c r="Q25" i="1"/>
  <c r="Q22" i="1"/>
  <c r="F16" i="1"/>
  <c r="F17" i="1" s="1"/>
  <c r="C17" i="1"/>
  <c r="Q21" i="1"/>
  <c r="C12" i="1"/>
  <c r="C11" i="1"/>
  <c r="C11" i="2"/>
  <c r="O23" i="1" l="1"/>
  <c r="O24" i="1"/>
  <c r="O26" i="1"/>
  <c r="C15" i="1"/>
  <c r="O25" i="1"/>
  <c r="O22" i="1"/>
  <c r="O21" i="1"/>
  <c r="C16" i="1"/>
  <c r="D18" i="1" s="1"/>
  <c r="C12" i="2"/>
  <c r="C16" i="2" l="1"/>
  <c r="D18" i="2" s="1"/>
  <c r="C15" i="2"/>
  <c r="O22" i="2"/>
  <c r="O23" i="2"/>
  <c r="O21" i="2"/>
  <c r="C18" i="1"/>
  <c r="F18" i="1"/>
  <c r="F19" i="1" s="1"/>
  <c r="C18" i="2" l="1"/>
  <c r="E16" i="2"/>
  <c r="E17" i="2" s="1"/>
</calcChain>
</file>

<file path=xl/sharedStrings.xml><?xml version="1.0" encoding="utf-8"?>
<sst xmlns="http://schemas.openxmlformats.org/spreadsheetml/2006/main" count="104" uniqueCount="56">
  <si>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</si>
  <si>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</si>
  <si>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</si>
  <si>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</si>
  <si>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</si>
  <si>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</si>
  <si>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</si>
  <si>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</si>
  <si>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</si>
  <si>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</si>
  <si>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</si>
  <si>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</si>
  <si>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</si>
  <si>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</si>
  <si>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</si>
  <si>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</si>
  <si>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</si>
  <si>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</si>
  <si>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</si>
  <si>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</si>
  <si>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</si>
  <si>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</si>
  <si>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</si>
  <si>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</si>
  <si>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</si>
  <si>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</si>
  <si>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</si>
  <si>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</si>
  <si>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</si>
  <si>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</si>
  <si>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</si>
  <si>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</si>
  <si>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</si>
  <si>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</si>
  <si>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</si>
  <si>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</si>
  <si>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</si>
  <si>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</si>
  <si>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</si>
  <si>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</si>
  <si>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</si>
  <si>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not avail.</t>
  </si>
  <si>
    <t>GSC 3929-1500</t>
  </si>
  <si>
    <t>Dra</t>
  </si>
  <si>
    <t>EW</t>
  </si>
  <si>
    <t>VSX?</t>
  </si>
  <si>
    <t>Nelson</t>
  </si>
  <si>
    <t>RHN 2016</t>
  </si>
  <si>
    <t>IBVS 6154</t>
  </si>
  <si>
    <t>IBVS 6157</t>
  </si>
  <si>
    <t>pg</t>
  </si>
  <si>
    <t>vis</t>
  </si>
  <si>
    <t>PE</t>
  </si>
  <si>
    <t>CCD</t>
  </si>
  <si>
    <t>RHN 2018</t>
  </si>
  <si>
    <t>IBVS 6195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</si>
</sst>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0"/>
    <numFmt numFmtId="173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41"/>
        <bgColor indexed="8"/>
      </patternFill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9" fillId="0" borderId="0" xfId="0" applyFont="1" applyAlignment="1"/>
    <xf numFmtId="0" fontId="0" fillId="0" borderId="0" xfId="0" applyAlignment="1">
      <alignment horizontal="right"/>
    </xf>
    <xf numFmtId="172" fontId="14" fillId="0" borderId="5" xfId="0" applyNumberFormat="1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0" fillId="2" borderId="0" xfId="0" applyFill="1" applyAlignment="1"/>
    <xf numFmtId="0" fontId="7" fillId="3" borderId="0" xfId="0" applyFont="1" applyFill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72" fontId="14" fillId="0" borderId="0" xfId="0" applyNumberFormat="1" applyFont="1" applyAlignment="1">
      <alignment horizontal="left"/>
    </xf>
    <xf numFmtId="0" fontId="15" fillId="0" borderId="5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73" fontId="17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3929-1500 -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803007518796992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-3096</c:v>
                </c:pt>
                <c:pt idx="1">
                  <c:v>-1088.5</c:v>
                </c:pt>
                <c:pt idx="2">
                  <c:v>-1026.5</c:v>
                </c:pt>
                <c:pt idx="3">
                  <c:v>-967</c:v>
                </c:pt>
                <c:pt idx="4">
                  <c:v>0.5</c:v>
                </c:pt>
                <c:pt idx="5">
                  <c:v>2229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72-455B-ADB5-72AF0D4C387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-3096</c:v>
                </c:pt>
                <c:pt idx="1">
                  <c:v>-1088.5</c:v>
                </c:pt>
                <c:pt idx="2">
                  <c:v>-1026.5</c:v>
                </c:pt>
                <c:pt idx="3">
                  <c:v>-967</c:v>
                </c:pt>
                <c:pt idx="4">
                  <c:v>0.5</c:v>
                </c:pt>
                <c:pt idx="5">
                  <c:v>2229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72-455B-ADB5-72AF0D4C387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-3096</c:v>
                </c:pt>
                <c:pt idx="1">
                  <c:v>-1088.5</c:v>
                </c:pt>
                <c:pt idx="2">
                  <c:v>-1026.5</c:v>
                </c:pt>
                <c:pt idx="3">
                  <c:v>-967</c:v>
                </c:pt>
                <c:pt idx="4">
                  <c:v>0.5</c:v>
                </c:pt>
                <c:pt idx="5">
                  <c:v>2229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72-455B-ADB5-72AF0D4C387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-3096</c:v>
                </c:pt>
                <c:pt idx="1">
                  <c:v>-1088.5</c:v>
                </c:pt>
                <c:pt idx="2">
                  <c:v>-1026.5</c:v>
                </c:pt>
                <c:pt idx="3">
                  <c:v>-967</c:v>
                </c:pt>
                <c:pt idx="4">
                  <c:v>0.5</c:v>
                </c:pt>
                <c:pt idx="5">
                  <c:v>2229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-1.5848965267650783E-4</c:v>
                </c:pt>
                <c:pt idx="1">
                  <c:v>4.5065492304274812E-4</c:v>
                </c:pt>
                <c:pt idx="4">
                  <c:v>-2.9216527036624029E-4</c:v>
                </c:pt>
                <c:pt idx="5">
                  <c:v>-1.2396628153510392E-3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72-455B-ADB5-72AF0D4C387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-3096</c:v>
                </c:pt>
                <c:pt idx="1">
                  <c:v>-1088.5</c:v>
                </c:pt>
                <c:pt idx="2">
                  <c:v>-1026.5</c:v>
                </c:pt>
                <c:pt idx="3">
                  <c:v>-967</c:v>
                </c:pt>
                <c:pt idx="4">
                  <c:v>0.5</c:v>
                </c:pt>
                <c:pt idx="5">
                  <c:v>2229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872-455B-ADB5-72AF0D4C387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-3096</c:v>
                </c:pt>
                <c:pt idx="1">
                  <c:v>-1088.5</c:v>
                </c:pt>
                <c:pt idx="2">
                  <c:v>-1026.5</c:v>
                </c:pt>
                <c:pt idx="3">
                  <c:v>-967</c:v>
                </c:pt>
                <c:pt idx="4">
                  <c:v>0.5</c:v>
                </c:pt>
                <c:pt idx="5">
                  <c:v>2229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872-455B-ADB5-72AF0D4C387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-3096</c:v>
                </c:pt>
                <c:pt idx="1">
                  <c:v>-1088.5</c:v>
                </c:pt>
                <c:pt idx="2">
                  <c:v>-1026.5</c:v>
                </c:pt>
                <c:pt idx="3">
                  <c:v>-967</c:v>
                </c:pt>
                <c:pt idx="4">
                  <c:v>0.5</c:v>
                </c:pt>
                <c:pt idx="5">
                  <c:v>2229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872-455B-ADB5-72AF0D4C387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-3096</c:v>
                </c:pt>
                <c:pt idx="1">
                  <c:v>-1088.5</c:v>
                </c:pt>
                <c:pt idx="2">
                  <c:v>-1026.5</c:v>
                </c:pt>
                <c:pt idx="3">
                  <c:v>-967</c:v>
                </c:pt>
                <c:pt idx="4">
                  <c:v>0.5</c:v>
                </c:pt>
                <c:pt idx="5">
                  <c:v>2229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1.3674606067619261E-3</c:v>
                </c:pt>
                <c:pt idx="1">
                  <c:v>3.6966727774736835E-4</c:v>
                </c:pt>
                <c:pt idx="2">
                  <c:v>3.3885124467194995E-4</c:v>
                </c:pt>
                <c:pt idx="3">
                  <c:v>3.0927779357537897E-4</c:v>
                </c:pt>
                <c:pt idx="4">
                  <c:v>-1.716014322386108E-4</c:v>
                </c:pt>
                <c:pt idx="5">
                  <c:v>-1.2792390081832891E-3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872-455B-ADB5-72AF0D4C387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-3096</c:v>
                </c:pt>
                <c:pt idx="1">
                  <c:v>-1088.5</c:v>
                </c:pt>
                <c:pt idx="2">
                  <c:v>-1026.5</c:v>
                </c:pt>
                <c:pt idx="3">
                  <c:v>-967</c:v>
                </c:pt>
                <c:pt idx="4">
                  <c:v>0.5</c:v>
                </c:pt>
                <c:pt idx="5">
                  <c:v>2229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2">
                  <c:v>1.7816422041505575E-3</c:v>
                </c:pt>
                <c:pt idx="3">
                  <c:v>1.9533154845703393E-3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872-455B-ADB5-72AF0D4C3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7782944"/>
        <c:axId val="1"/>
      </c:scatterChart>
      <c:valAx>
        <c:axId val="657782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8345864661654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782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55639097744362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3929-1500 -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'A (old)'!$D$21:$D$239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2007.5</c:v>
                </c:pt>
                <c:pt idx="2">
                  <c:v>3096.5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B-4544-8CBC-64993FBBC389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2007.5</c:v>
                </c:pt>
                <c:pt idx="2">
                  <c:v>3096.5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1">
                  <c:v>-0.20762000000104308</c:v>
                </c:pt>
                <c:pt idx="2">
                  <c:v>-0.32131999999546679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B-4544-8CBC-64993FBBC389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2007.5</c:v>
                </c:pt>
                <c:pt idx="2">
                  <c:v>3096.5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B-4544-8CBC-64993FBBC389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2007.5</c:v>
                </c:pt>
                <c:pt idx="2">
                  <c:v>3096.5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B-4544-8CBC-64993FBBC389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2007.5</c:v>
                </c:pt>
                <c:pt idx="2">
                  <c:v>3096.5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B-4544-8CBC-64993FBBC389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2007.5</c:v>
                </c:pt>
                <c:pt idx="2">
                  <c:v>3096.5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B-4544-8CBC-64993FBBC389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2007.5</c:v>
                </c:pt>
                <c:pt idx="2">
                  <c:v>3096.5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B-4544-8CBC-64993FBBC389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2007.5</c:v>
                </c:pt>
                <c:pt idx="2">
                  <c:v>3096.5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0">
                  <c:v>1.5848965372991519E-4</c:v>
                </c:pt>
                <c:pt idx="1">
                  <c:v>-0.2080706549255377</c:v>
                </c:pt>
                <c:pt idx="2">
                  <c:v>-0.32102783472470209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B-4544-8CBC-64993FBBC389}"/>
            </c:ext>
          </c:extLst>
        </c:ser>
        <c:ser>
          <c:idx val="8"/>
          <c:order val="8"/>
          <c:tx>
            <c:strRef>
              <c:f>'A (old)'!$R$20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2007.5</c:v>
                </c:pt>
                <c:pt idx="2">
                  <c:v>3096.5</c:v>
                </c:pt>
              </c:numCache>
            </c:numRef>
          </c:xVal>
          <c:yVal>
            <c:numRef>
              <c:f>'A (old)'!$R$21:$R$999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B-4544-8CBC-64993FBBC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7793080"/>
        <c:axId val="1"/>
      </c:scatterChart>
      <c:valAx>
        <c:axId val="457793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7793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9849624060150375"/>
          <c:y val="0.92375366568914952"/>
          <c:w val="0.9458646616541353"/>
          <c:h val="0.982404692082111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8E3E574-B626-D11A-BCFA-939D0C6B8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BE8E4CC3-F73E-E207-6592-EF61F53117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6940"/>
  <sheetViews>
    <sheetView tabSelected="1" workbookViewId="0">
      <selection activeCell="M35" sqref="M3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42</v>
      </c>
    </row>
    <row r="2" spans="1:6" x14ac:dyDescent="0.2">
      <c r="A2" t="s">
        <v>24</v>
      </c>
      <c r="B2" t="s">
        <v>44</v>
      </c>
      <c r="D2" s="3" t="s">
        <v>43</v>
      </c>
    </row>
    <row r="3" spans="1:6" ht="13.5" thickBot="1" x14ac:dyDescent="0.25"/>
    <row r="4" spans="1:6" ht="14.25" thickTop="1" thickBot="1" x14ac:dyDescent="0.25">
      <c r="A4" s="5" t="s">
        <v>0</v>
      </c>
      <c r="C4" s="8" t="s">
        <v>41</v>
      </c>
      <c r="D4" s="9" t="s">
        <v>41</v>
      </c>
    </row>
    <row r="5" spans="1:6" ht="13.5" thickTop="1" x14ac:dyDescent="0.2">
      <c r="A5" s="11" t="s">
        <v>30</v>
      </c>
      <c r="B5" s="12"/>
      <c r="C5" s="13">
        <v>-9.5</v>
      </c>
      <c r="D5" s="12" t="s">
        <v>31</v>
      </c>
    </row>
    <row r="6" spans="1:6" x14ac:dyDescent="0.2">
      <c r="A6" s="5" t="s">
        <v>1</v>
      </c>
    </row>
    <row r="7" spans="1:6" x14ac:dyDescent="0.2">
      <c r="A7" t="s">
        <v>2</v>
      </c>
      <c r="C7">
        <v>57522.650144028077</v>
      </c>
    </row>
    <row r="8" spans="1:6" x14ac:dyDescent="0.2">
      <c r="A8" t="s">
        <v>3</v>
      </c>
      <c r="C8" s="31">
        <v>0.33429627439871518</v>
      </c>
      <c r="D8" s="30"/>
    </row>
    <row r="9" spans="1:6" x14ac:dyDescent="0.2">
      <c r="A9" s="27" t="s">
        <v>35</v>
      </c>
      <c r="B9" s="28">
        <v>22</v>
      </c>
      <c r="C9" s="25" t="str">
        <f>"F"&amp;B9</f>
        <v>F22</v>
      </c>
      <c r="D9" s="26" t="str">
        <f>"G"&amp;B9</f>
        <v>G22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15</v>
      </c>
      <c r="B11" s="12"/>
      <c r="C11" s="24">
        <f ca="1">INTERCEPT(INDIRECT($D$9):G992,INDIRECT($C$9):F992)</f>
        <v>-1.7135291584284128E-4</v>
      </c>
      <c r="D11" s="3"/>
      <c r="E11" s="12"/>
    </row>
    <row r="12" spans="1:6" x14ac:dyDescent="0.2">
      <c r="A12" s="12" t="s">
        <v>16</v>
      </c>
      <c r="B12" s="12"/>
      <c r="C12" s="24">
        <f ca="1">SLOPE(INDIRECT($D$9):G992,INDIRECT($C$9):F992)</f>
        <v>-4.9703279153900752E-7</v>
      </c>
      <c r="D12" s="3"/>
      <c r="E12" s="12"/>
    </row>
    <row r="13" spans="1:6" x14ac:dyDescent="0.2">
      <c r="A13" s="12" t="s">
        <v>19</v>
      </c>
      <c r="B13" s="12"/>
      <c r="C13" s="3" t="s">
        <v>13</v>
      </c>
    </row>
    <row r="14" spans="1:6" x14ac:dyDescent="0.2">
      <c r="A14" s="12"/>
      <c r="B14" s="12"/>
      <c r="C14" s="12"/>
    </row>
    <row r="15" spans="1:6" x14ac:dyDescent="0.2">
      <c r="A15" s="14" t="s">
        <v>17</v>
      </c>
      <c r="B15" s="12"/>
      <c r="C15" s="15">
        <f ca="1">(C7+C11)+(C8+C12)*INT(MAX(F21:F3533))</f>
        <v>58267.795260423809</v>
      </c>
      <c r="E15" s="16" t="s">
        <v>36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0.33429577736592364</v>
      </c>
      <c r="E16" s="16" t="s">
        <v>32</v>
      </c>
      <c r="F16" s="17">
        <f ca="1">NOW()+15018.5+$C$5/24</f>
        <v>59958.59747743055</v>
      </c>
    </row>
    <row r="17" spans="1:21" ht="13.5" thickBot="1" x14ac:dyDescent="0.25">
      <c r="A17" s="16" t="s">
        <v>29</v>
      </c>
      <c r="B17" s="12"/>
      <c r="C17" s="12">
        <f>COUNT(C21:C2191)</f>
        <v>6</v>
      </c>
      <c r="E17" s="16" t="s">
        <v>37</v>
      </c>
      <c r="F17" s="17">
        <f ca="1">ROUND(2*(F16-$C$7)/$C$8,0)/2+F15</f>
        <v>7288</v>
      </c>
    </row>
    <row r="18" spans="1:21" ht="14.25" thickTop="1" thickBot="1" x14ac:dyDescent="0.25">
      <c r="A18" s="18" t="s">
        <v>5</v>
      </c>
      <c r="B18" s="12"/>
      <c r="C18" s="21">
        <f ca="1">+C15</f>
        <v>58267.795260423809</v>
      </c>
      <c r="D18" s="22">
        <f ca="1">+C16</f>
        <v>0.33429577736592364</v>
      </c>
      <c r="E18" s="16" t="s">
        <v>38</v>
      </c>
      <c r="F18" s="26">
        <f ca="1">ROUND(2*(F16-$C$15)/$C$16,0)/2+F15</f>
        <v>5059</v>
      </c>
    </row>
    <row r="19" spans="1:21" ht="13.5" thickTop="1" x14ac:dyDescent="0.2">
      <c r="E19" s="16" t="s">
        <v>33</v>
      </c>
      <c r="F19" s="20">
        <f ca="1">+$C$15+$C$16*F18-15018.5-$C$5/24</f>
        <v>44940.893431451354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50</v>
      </c>
      <c r="I20" s="7" t="s">
        <v>51</v>
      </c>
      <c r="J20" s="7" t="s">
        <v>52</v>
      </c>
      <c r="K20" s="7" t="s">
        <v>53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U20" s="29" t="s">
        <v>40</v>
      </c>
    </row>
    <row r="21" spans="1:21" x14ac:dyDescent="0.2">
      <c r="A21" t="s">
        <v>45</v>
      </c>
      <c r="C21" s="10">
        <v>56487.668720000001</v>
      </c>
      <c r="D21" s="10" t="s">
        <v>13</v>
      </c>
      <c r="E21">
        <f t="shared" ref="E21:E26" si="0">+(C21-C$7)/C$8</f>
        <v>-3096.0004740993713</v>
      </c>
      <c r="F21">
        <f t="shared" ref="F21:F26" si="1">ROUND(2*E21,0)/2</f>
        <v>-3096</v>
      </c>
      <c r="G21">
        <f>+C21-(C$7+F21*C$8)</f>
        <v>-1.5848965267650783E-4</v>
      </c>
      <c r="K21">
        <f>+G21</f>
        <v>-1.5848965267650783E-4</v>
      </c>
      <c r="O21">
        <f t="shared" ref="O21:O26" ca="1" si="2">+C$11+C$12*$F21</f>
        <v>1.3674606067619261E-3</v>
      </c>
      <c r="Q21" s="2">
        <f t="shared" ref="Q21:Q26" si="3">+C21-15018.5</f>
        <v>41469.168720000001</v>
      </c>
    </row>
    <row r="22" spans="1:21" x14ac:dyDescent="0.2">
      <c r="A22" s="5" t="s">
        <v>48</v>
      </c>
      <c r="C22" s="10">
        <v>57158.769099999998</v>
      </c>
      <c r="D22" s="10">
        <v>2.9999999999999997E-4</v>
      </c>
      <c r="E22">
        <f t="shared" si="0"/>
        <v>-1088.4986519295712</v>
      </c>
      <c r="F22">
        <f t="shared" si="1"/>
        <v>-1088.5</v>
      </c>
      <c r="G22">
        <f>+C22-(C$7+F22*C$8)</f>
        <v>4.5065492304274812E-4</v>
      </c>
      <c r="K22">
        <f>+G22</f>
        <v>4.5065492304274812E-4</v>
      </c>
      <c r="O22">
        <f t="shared" ca="1" si="2"/>
        <v>3.6966727774736835E-4</v>
      </c>
      <c r="Q22" s="2">
        <f t="shared" si="3"/>
        <v>42140.269099999998</v>
      </c>
    </row>
    <row r="23" spans="1:21" x14ac:dyDescent="0.2">
      <c r="A23" s="36" t="s">
        <v>49</v>
      </c>
      <c r="B23" s="37"/>
      <c r="C23" s="39">
        <v>57179.496800000001</v>
      </c>
      <c r="D23" s="39">
        <v>3.0000000000000001E-3</v>
      </c>
      <c r="E23">
        <f t="shared" si="0"/>
        <v>-1026.4946704694573</v>
      </c>
      <c r="F23">
        <f t="shared" si="1"/>
        <v>-1026.5</v>
      </c>
      <c r="O23">
        <f t="shared" ca="1" si="2"/>
        <v>3.3885124467194995E-4</v>
      </c>
      <c r="Q23" s="2">
        <f t="shared" si="3"/>
        <v>42160.996800000001</v>
      </c>
      <c r="U23">
        <f>+C23-(C$7+F23*C$8)</f>
        <v>1.7816422041505575E-3</v>
      </c>
    </row>
    <row r="24" spans="1:21" x14ac:dyDescent="0.2">
      <c r="A24" s="36" t="s">
        <v>49</v>
      </c>
      <c r="B24" s="37"/>
      <c r="C24" s="36">
        <v>57199.387600000002</v>
      </c>
      <c r="D24" s="36">
        <v>5.9999999999999995E-4</v>
      </c>
      <c r="E24">
        <f t="shared" si="0"/>
        <v>-966.9941569331404</v>
      </c>
      <c r="F24">
        <f t="shared" si="1"/>
        <v>-967</v>
      </c>
      <c r="O24">
        <f t="shared" ca="1" si="2"/>
        <v>3.0927779357537897E-4</v>
      </c>
      <c r="Q24" s="2">
        <f t="shared" si="3"/>
        <v>42180.887600000002</v>
      </c>
      <c r="U24">
        <f>+C24-(C$7+F24*C$8)</f>
        <v>1.9533154845703393E-3</v>
      </c>
    </row>
    <row r="25" spans="1:21" x14ac:dyDescent="0.2">
      <c r="A25" s="5" t="s">
        <v>55</v>
      </c>
      <c r="C25" s="38">
        <v>57522.817000000003</v>
      </c>
      <c r="D25" s="40">
        <v>2.0000000000000001E-4</v>
      </c>
      <c r="E25">
        <f t="shared" si="0"/>
        <v>0.49912602892646529</v>
      </c>
      <c r="F25">
        <f t="shared" si="1"/>
        <v>0.5</v>
      </c>
      <c r="G25">
        <f>+C25-(C$7+F25*C$8)</f>
        <v>-2.9216527036624029E-4</v>
      </c>
      <c r="K25">
        <f>+G25</f>
        <v>-2.9216527036624029E-4</v>
      </c>
      <c r="O25">
        <f t="shared" ca="1" si="2"/>
        <v>-1.716014322386108E-4</v>
      </c>
      <c r="Q25" s="2">
        <f t="shared" si="3"/>
        <v>42504.317000000003</v>
      </c>
    </row>
    <row r="26" spans="1:21" x14ac:dyDescent="0.2">
      <c r="A26" s="5" t="s">
        <v>54</v>
      </c>
      <c r="C26" s="10">
        <v>58267.795299999998</v>
      </c>
      <c r="D26" s="40">
        <v>2.0000000000000001E-4</v>
      </c>
      <c r="E26">
        <f t="shared" si="0"/>
        <v>2228.9962917241073</v>
      </c>
      <c r="F26">
        <f t="shared" si="1"/>
        <v>2229</v>
      </c>
      <c r="G26">
        <f>+C26-(C$7+F26*C$8)</f>
        <v>-1.2396628153510392E-3</v>
      </c>
      <c r="K26">
        <f>+G26</f>
        <v>-1.2396628153510392E-3</v>
      </c>
      <c r="O26">
        <f t="shared" ca="1" si="2"/>
        <v>-1.2792390081832891E-3</v>
      </c>
      <c r="Q26" s="2">
        <f t="shared" si="3"/>
        <v>43249.295299999998</v>
      </c>
    </row>
    <row r="27" spans="1:21" x14ac:dyDescent="0.2">
      <c r="A27" s="41"/>
      <c r="B27" s="42"/>
      <c r="C27" s="43"/>
      <c r="D27" s="41"/>
      <c r="Q27" s="2"/>
    </row>
    <row r="28" spans="1:21" x14ac:dyDescent="0.2">
      <c r="C28" s="10"/>
      <c r="D28" s="10"/>
      <c r="Q28" s="2"/>
    </row>
    <row r="29" spans="1:21" x14ac:dyDescent="0.2">
      <c r="C29" s="10"/>
      <c r="D29" s="10"/>
      <c r="Q29" s="2"/>
    </row>
    <row r="30" spans="1:21" x14ac:dyDescent="0.2">
      <c r="C30" s="10"/>
      <c r="D30" s="10"/>
      <c r="Q30" s="2"/>
    </row>
    <row r="31" spans="1:21" x14ac:dyDescent="0.2">
      <c r="C31" s="10"/>
      <c r="D31" s="10"/>
      <c r="Q31" s="2"/>
    </row>
    <row r="32" spans="1:21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workbookViewId="0">
      <selection activeCell="C21" sqref="C2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24</v>
      </c>
      <c r="B2" t="s">
        <v>44</v>
      </c>
      <c r="D2" s="3" t="s">
        <v>43</v>
      </c>
    </row>
    <row r="3" spans="1:7" ht="13.5" thickBot="1" x14ac:dyDescent="0.25"/>
    <row r="4" spans="1:7" ht="14.25" thickTop="1" thickBot="1" x14ac:dyDescent="0.25">
      <c r="A4" s="5" t="s">
        <v>0</v>
      </c>
      <c r="C4" s="8" t="s">
        <v>41</v>
      </c>
      <c r="D4" s="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>
        <v>56487.668720000001</v>
      </c>
    </row>
    <row r="8" spans="1:7" x14ac:dyDescent="0.2">
      <c r="A8" t="s">
        <v>3</v>
      </c>
      <c r="C8" s="31">
        <v>0.33439999999999998</v>
      </c>
      <c r="D8" s="30"/>
    </row>
    <row r="9" spans="1:7" x14ac:dyDescent="0.2">
      <c r="A9" s="11" t="s">
        <v>30</v>
      </c>
      <c r="B9" s="12"/>
      <c r="C9" s="13">
        <v>8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1.5848965372991519E-4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-1.0372560128481575E-4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16" t="s">
        <v>36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59959.326644097222</v>
      </c>
    </row>
    <row r="15" spans="1:7" x14ac:dyDescent="0.2">
      <c r="A15" s="14" t="s">
        <v>17</v>
      </c>
      <c r="B15" s="12"/>
      <c r="C15" s="15">
        <f ca="1">(C7+C11)+(C8+C12)*INT(MAX(F21:F3533))</f>
        <v>57522.650144028077</v>
      </c>
      <c r="D15" s="16" t="s">
        <v>37</v>
      </c>
      <c r="E15" s="17">
        <f ca="1">ROUND(2*(E14-$C$7)/$C$8,0)/2+E13</f>
        <v>10383</v>
      </c>
    </row>
    <row r="16" spans="1:7" x14ac:dyDescent="0.2">
      <c r="A16" s="18" t="s">
        <v>4</v>
      </c>
      <c r="B16" s="12"/>
      <c r="C16" s="19">
        <f ca="1">+C8+C12</f>
        <v>0.33429627439871518</v>
      </c>
      <c r="D16" s="16" t="s">
        <v>38</v>
      </c>
      <c r="E16" s="26">
        <f ca="1">ROUND(2*(E14-$C$15)/$C$16,0)/2+E13</f>
        <v>7290</v>
      </c>
    </row>
    <row r="17" spans="1:18" ht="13.5" thickBot="1" x14ac:dyDescent="0.25">
      <c r="A17" s="16" t="s">
        <v>29</v>
      </c>
      <c r="B17" s="12"/>
      <c r="C17" s="12">
        <f>COUNT(C21:C2191)</f>
        <v>3</v>
      </c>
      <c r="D17" s="16" t="s">
        <v>33</v>
      </c>
      <c r="E17" s="20">
        <f ca="1">+$C$15+$C$16*E16-15018.5-$C$9/24</f>
        <v>44940.836651061378</v>
      </c>
    </row>
    <row r="18" spans="1:18" ht="14.25" thickTop="1" thickBot="1" x14ac:dyDescent="0.25">
      <c r="A18" s="18" t="s">
        <v>5</v>
      </c>
      <c r="B18" s="12"/>
      <c r="C18" s="21">
        <f ca="1">+C15</f>
        <v>57522.650144028077</v>
      </c>
      <c r="D18" s="22">
        <f ca="1">+C16</f>
        <v>0.33429627439871518</v>
      </c>
      <c r="E18" s="23" t="s">
        <v>34</v>
      </c>
    </row>
    <row r="19" spans="1:18" ht="13.5" thickTop="1" x14ac:dyDescent="0.2">
      <c r="A19" s="27" t="s">
        <v>35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39</v>
      </c>
      <c r="I20" s="7" t="s">
        <v>46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9" t="s">
        <v>40</v>
      </c>
    </row>
    <row r="21" spans="1:18" x14ac:dyDescent="0.2">
      <c r="A21" t="s">
        <v>45</v>
      </c>
      <c r="C21" s="10">
        <f>+C$7</f>
        <v>56487.668720000001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1.5848965372991519E-4</v>
      </c>
      <c r="Q21" s="2">
        <f>+C21-15018.5</f>
        <v>41469.168720000001</v>
      </c>
    </row>
    <row r="22" spans="1:18" x14ac:dyDescent="0.2">
      <c r="A22" s="5" t="s">
        <v>48</v>
      </c>
      <c r="C22" s="10">
        <v>57158.769099999998</v>
      </c>
      <c r="D22" s="10">
        <v>2.9999999999999997E-4</v>
      </c>
      <c r="E22">
        <f>+(C22-C$7)/C$8</f>
        <v>2006.8791267942472</v>
      </c>
      <c r="F22" s="34">
        <f>ROUND(2*E22,0)/2+0.5</f>
        <v>2007.5</v>
      </c>
      <c r="G22">
        <f>+C22-(C$7+F22*C$8)</f>
        <v>-0.20762000000104308</v>
      </c>
      <c r="I22">
        <f>+G22</f>
        <v>-0.20762000000104308</v>
      </c>
      <c r="O22">
        <f ca="1">+C$11+C$12*$F22</f>
        <v>-0.2080706549255377</v>
      </c>
      <c r="Q22" s="2">
        <f>+C22-15018.5</f>
        <v>42140.269099999998</v>
      </c>
    </row>
    <row r="23" spans="1:18" x14ac:dyDescent="0.2">
      <c r="A23" s="5" t="s">
        <v>47</v>
      </c>
      <c r="C23" s="32">
        <v>57522.817000000003</v>
      </c>
      <c r="D23" s="33">
        <v>2.0000000000000001E-4</v>
      </c>
      <c r="E23">
        <f>+(C23-C$7)/C$8</f>
        <v>3095.5391148325398</v>
      </c>
      <c r="F23" s="35">
        <f>ROUND(2*E23,0)/2+1</f>
        <v>3096.5</v>
      </c>
      <c r="G23">
        <f>+C23-(C$7+F23*C$8)</f>
        <v>-0.32131999999546679</v>
      </c>
      <c r="I23">
        <f>+G23</f>
        <v>-0.32131999999546679</v>
      </c>
      <c r="O23">
        <f ca="1">+C$11+C$12*$F23</f>
        <v>-0.32102783472470209</v>
      </c>
      <c r="Q23" s="2">
        <f>+C23-15018.5</f>
        <v>42504.317000000003</v>
      </c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sheetProtection sheet="1" objects="1" scenarios="1"/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 (old)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2023-01-14T01:20:22Z</dcterms:modified>
</cp:coreProperties>
</file>