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13F2814E-E2A8-4350-B8E2-8BD402ADF8DB}" xr6:coauthVersionLast="47" xr6:coauthVersionMax="47" xr10:uidLastSave="{00000000-0000-0000-0000-000000000000}"/>
  <bookViews>
    <workbookView xWindow="13380" yWindow="64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/>
  <c r="G79" i="1"/>
  <c r="K79" i="1"/>
  <c r="Q79" i="1"/>
  <c r="Q78" i="1"/>
  <c r="Q77" i="1"/>
  <c r="Q75" i="1"/>
  <c r="D9" i="1"/>
  <c r="C9" i="1"/>
  <c r="Q73" i="1"/>
  <c r="Q71" i="1"/>
  <c r="Q66" i="1"/>
  <c r="Q63" i="1"/>
  <c r="Q60" i="1"/>
  <c r="Q50" i="1"/>
  <c r="Q46" i="1"/>
  <c r="Q45" i="1"/>
  <c r="Q44" i="1"/>
  <c r="Q43" i="1"/>
  <c r="Q42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3" i="2"/>
  <c r="C33" i="2"/>
  <c r="G65" i="2"/>
  <c r="C65" i="2"/>
  <c r="G32" i="2"/>
  <c r="C32" i="2"/>
  <c r="G64" i="2"/>
  <c r="C64" i="2"/>
  <c r="G63" i="2"/>
  <c r="C63" i="2"/>
  <c r="G31" i="2"/>
  <c r="C31" i="2"/>
  <c r="G30" i="2"/>
  <c r="C30" i="2"/>
  <c r="G29" i="2"/>
  <c r="C29" i="2"/>
  <c r="G28" i="2"/>
  <c r="C28" i="2"/>
  <c r="G62" i="2"/>
  <c r="C62" i="2"/>
  <c r="G27" i="2"/>
  <c r="C27" i="2"/>
  <c r="G26" i="2"/>
  <c r="C26" i="2"/>
  <c r="G61" i="2"/>
  <c r="C61" i="2"/>
  <c r="G25" i="2"/>
  <c r="C25" i="2"/>
  <c r="G24" i="2"/>
  <c r="C24" i="2"/>
  <c r="G60" i="2"/>
  <c r="C60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59" i="2"/>
  <c r="C59" i="2"/>
  <c r="G14" i="2"/>
  <c r="C14" i="2"/>
  <c r="G13" i="2"/>
  <c r="C13" i="2"/>
  <c r="G12" i="2"/>
  <c r="C12" i="2"/>
  <c r="G58" i="2"/>
  <c r="C58" i="2"/>
  <c r="G57" i="2"/>
  <c r="C57" i="2"/>
  <c r="G56" i="2"/>
  <c r="C56" i="2"/>
  <c r="G55" i="2"/>
  <c r="C55" i="2"/>
  <c r="G54" i="2"/>
  <c r="C54" i="2"/>
  <c r="G11" i="2"/>
  <c r="C11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H33" i="2"/>
  <c r="D33" i="2"/>
  <c r="B33" i="2"/>
  <c r="A33" i="2"/>
  <c r="H65" i="2"/>
  <c r="B65" i="2"/>
  <c r="D65" i="2"/>
  <c r="A65" i="2"/>
  <c r="H32" i="2"/>
  <c r="D32" i="2"/>
  <c r="B32" i="2"/>
  <c r="A32" i="2"/>
  <c r="H64" i="2"/>
  <c r="B64" i="2"/>
  <c r="D64" i="2"/>
  <c r="A64" i="2"/>
  <c r="H63" i="2"/>
  <c r="D63" i="2"/>
  <c r="B63" i="2"/>
  <c r="A63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62" i="2"/>
  <c r="B62" i="2"/>
  <c r="D62" i="2"/>
  <c r="A62" i="2"/>
  <c r="H27" i="2"/>
  <c r="D27" i="2"/>
  <c r="B27" i="2"/>
  <c r="A27" i="2"/>
  <c r="H26" i="2"/>
  <c r="B26" i="2"/>
  <c r="D26" i="2"/>
  <c r="A26" i="2"/>
  <c r="H61" i="2"/>
  <c r="D61" i="2"/>
  <c r="B61" i="2"/>
  <c r="A61" i="2"/>
  <c r="H25" i="2"/>
  <c r="B25" i="2"/>
  <c r="D25" i="2"/>
  <c r="A25" i="2"/>
  <c r="H24" i="2"/>
  <c r="D24" i="2"/>
  <c r="B24" i="2"/>
  <c r="A24" i="2"/>
  <c r="H60" i="2"/>
  <c r="B60" i="2"/>
  <c r="D60" i="2"/>
  <c r="A60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59" i="2"/>
  <c r="B59" i="2"/>
  <c r="D59" i="2"/>
  <c r="A59" i="2"/>
  <c r="H14" i="2"/>
  <c r="D14" i="2"/>
  <c r="B14" i="2"/>
  <c r="A14" i="2"/>
  <c r="H13" i="2"/>
  <c r="B13" i="2"/>
  <c r="D13" i="2"/>
  <c r="A13" i="2"/>
  <c r="H12" i="2"/>
  <c r="D12" i="2"/>
  <c r="B12" i="2"/>
  <c r="A12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11" i="2"/>
  <c r="D11" i="2"/>
  <c r="B11" i="2"/>
  <c r="A11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Q76" i="1"/>
  <c r="Q74" i="1"/>
  <c r="F16" i="1"/>
  <c r="F17" i="1" s="1"/>
  <c r="C17" i="1"/>
  <c r="Q70" i="1"/>
  <c r="Q72" i="1"/>
  <c r="Q67" i="1"/>
  <c r="Q68" i="1"/>
  <c r="Q69" i="1"/>
  <c r="C7" i="1"/>
  <c r="E77" i="1"/>
  <c r="F77" i="1"/>
  <c r="C8" i="1"/>
  <c r="Q65" i="1"/>
  <c r="Q64" i="1"/>
  <c r="Q62" i="1"/>
  <c r="Q61" i="1"/>
  <c r="Q57" i="1"/>
  <c r="Q58" i="1"/>
  <c r="Q59" i="1"/>
  <c r="Q48" i="1"/>
  <c r="Q49" i="1"/>
  <c r="Q51" i="1"/>
  <c r="Q52" i="1"/>
  <c r="Q53" i="1"/>
  <c r="Q54" i="1"/>
  <c r="Q47" i="1"/>
  <c r="Q55" i="1"/>
  <c r="Q56" i="1"/>
  <c r="Q41" i="1"/>
  <c r="E21" i="2"/>
  <c r="E27" i="1"/>
  <c r="F27" i="1"/>
  <c r="E55" i="2"/>
  <c r="E62" i="2"/>
  <c r="E51" i="1"/>
  <c r="F51" i="1"/>
  <c r="E75" i="1"/>
  <c r="F75" i="1"/>
  <c r="G75" i="1"/>
  <c r="K75" i="1"/>
  <c r="G34" i="1"/>
  <c r="I34" i="1"/>
  <c r="E24" i="1"/>
  <c r="F24" i="1"/>
  <c r="G24" i="1"/>
  <c r="I24" i="1"/>
  <c r="E41" i="1"/>
  <c r="F41" i="1"/>
  <c r="G41" i="1"/>
  <c r="H41" i="1"/>
  <c r="E43" i="1"/>
  <c r="F43" i="1"/>
  <c r="G43" i="1"/>
  <c r="I43" i="1"/>
  <c r="G21" i="1"/>
  <c r="I21" i="1"/>
  <c r="E40" i="2"/>
  <c r="E76" i="1"/>
  <c r="F76" i="1"/>
  <c r="G76" i="1"/>
  <c r="J76" i="1"/>
  <c r="E49" i="1"/>
  <c r="F49" i="1"/>
  <c r="G49" i="1"/>
  <c r="I49" i="1"/>
  <c r="E63" i="1"/>
  <c r="E53" i="2"/>
  <c r="E72" i="1"/>
  <c r="F72" i="1"/>
  <c r="E55" i="1"/>
  <c r="E40" i="1"/>
  <c r="F40" i="1"/>
  <c r="E78" i="1"/>
  <c r="F78" i="1"/>
  <c r="G78" i="1"/>
  <c r="K78" i="1"/>
  <c r="G69" i="1"/>
  <c r="J69" i="1"/>
  <c r="G73" i="1"/>
  <c r="K73" i="1"/>
  <c r="E22" i="1"/>
  <c r="F22" i="1"/>
  <c r="E30" i="1"/>
  <c r="F30" i="1"/>
  <c r="E38" i="1"/>
  <c r="F38" i="1"/>
  <c r="G38" i="1"/>
  <c r="I38" i="1"/>
  <c r="G40" i="1"/>
  <c r="I40" i="1"/>
  <c r="E50" i="1"/>
  <c r="F50" i="1"/>
  <c r="G50" i="1"/>
  <c r="I50" i="1"/>
  <c r="E66" i="1"/>
  <c r="F66" i="1"/>
  <c r="E57" i="1"/>
  <c r="F57" i="1"/>
  <c r="E54" i="1"/>
  <c r="F54" i="1"/>
  <c r="G62" i="1"/>
  <c r="K62" i="1"/>
  <c r="G77" i="1"/>
  <c r="K77" i="1"/>
  <c r="E25" i="1"/>
  <c r="F25" i="1"/>
  <c r="G25" i="1"/>
  <c r="I25" i="1"/>
  <c r="G27" i="1"/>
  <c r="I27" i="1"/>
  <c r="E33" i="1"/>
  <c r="F33" i="1"/>
  <c r="E42" i="1"/>
  <c r="F42" i="1"/>
  <c r="E48" i="1"/>
  <c r="F48" i="1"/>
  <c r="G48" i="1"/>
  <c r="I48" i="1"/>
  <c r="G51" i="1"/>
  <c r="I51" i="1"/>
  <c r="E56" i="1"/>
  <c r="F56" i="1"/>
  <c r="G56" i="1"/>
  <c r="I56" i="1"/>
  <c r="E64" i="1"/>
  <c r="F64" i="1"/>
  <c r="G64" i="1"/>
  <c r="J64" i="1"/>
  <c r="E69" i="1"/>
  <c r="F69" i="1"/>
  <c r="G22" i="1"/>
  <c r="I22" i="1"/>
  <c r="E28" i="1"/>
  <c r="F28" i="1"/>
  <c r="G28" i="1"/>
  <c r="I28" i="1"/>
  <c r="G30" i="1"/>
  <c r="I30" i="1"/>
  <c r="E36" i="1"/>
  <c r="E45" i="1"/>
  <c r="F45" i="1"/>
  <c r="E71" i="1"/>
  <c r="G57" i="1"/>
  <c r="I57" i="1"/>
  <c r="E52" i="1"/>
  <c r="G54" i="1"/>
  <c r="I54" i="1"/>
  <c r="E23" i="1"/>
  <c r="F23" i="1"/>
  <c r="E31" i="1"/>
  <c r="G33" i="1"/>
  <c r="I33" i="1"/>
  <c r="E39" i="1"/>
  <c r="G42" i="1"/>
  <c r="I42" i="1"/>
  <c r="E60" i="1"/>
  <c r="E73" i="1"/>
  <c r="F73" i="1"/>
  <c r="E58" i="1"/>
  <c r="F58" i="1"/>
  <c r="E47" i="1"/>
  <c r="E65" i="1"/>
  <c r="F65" i="1"/>
  <c r="G65" i="1"/>
  <c r="J65" i="1"/>
  <c r="E70" i="1"/>
  <c r="F70" i="1"/>
  <c r="G70" i="1"/>
  <c r="J70" i="1"/>
  <c r="E26" i="1"/>
  <c r="F26" i="1"/>
  <c r="G26" i="1"/>
  <c r="I26" i="1"/>
  <c r="E34" i="1"/>
  <c r="F34" i="1"/>
  <c r="G66" i="1"/>
  <c r="I66" i="1"/>
  <c r="E21" i="1"/>
  <c r="F21" i="1"/>
  <c r="G23" i="1"/>
  <c r="I23" i="1"/>
  <c r="E29" i="1"/>
  <c r="E37" i="1"/>
  <c r="F37" i="1"/>
  <c r="G37" i="1"/>
  <c r="I37" i="1"/>
  <c r="E46" i="1"/>
  <c r="F46" i="1"/>
  <c r="G46" i="1"/>
  <c r="I46" i="1"/>
  <c r="E61" i="1"/>
  <c r="F61" i="1"/>
  <c r="G58" i="1"/>
  <c r="I58" i="1"/>
  <c r="E53" i="1"/>
  <c r="E67" i="1"/>
  <c r="F67" i="1"/>
  <c r="E74" i="1"/>
  <c r="F74" i="1"/>
  <c r="G74" i="1"/>
  <c r="K74" i="1"/>
  <c r="G67" i="1"/>
  <c r="J67" i="1"/>
  <c r="G72" i="1"/>
  <c r="K72" i="1"/>
  <c r="E43" i="2"/>
  <c r="E35" i="2"/>
  <c r="E22" i="2"/>
  <c r="E32" i="1"/>
  <c r="F32" i="1"/>
  <c r="G32" i="1"/>
  <c r="I32" i="1"/>
  <c r="E45" i="2"/>
  <c r="E59" i="2"/>
  <c r="E18" i="2"/>
  <c r="E23" i="2"/>
  <c r="E68" i="1"/>
  <c r="E59" i="1"/>
  <c r="F59" i="1"/>
  <c r="G59" i="1"/>
  <c r="I59" i="1"/>
  <c r="E54" i="2"/>
  <c r="E15" i="2"/>
  <c r="E65" i="2"/>
  <c r="G61" i="1"/>
  <c r="I61" i="1"/>
  <c r="G45" i="1"/>
  <c r="I45" i="1"/>
  <c r="E62" i="1"/>
  <c r="F62" i="1"/>
  <c r="E44" i="1"/>
  <c r="E35" i="1"/>
  <c r="F35" i="1"/>
  <c r="G35" i="1"/>
  <c r="I35" i="1"/>
  <c r="F71" i="1"/>
  <c r="G71" i="1"/>
  <c r="K71" i="1"/>
  <c r="E63" i="2"/>
  <c r="E51" i="2"/>
  <c r="E46" i="2"/>
  <c r="E30" i="2"/>
  <c r="E58" i="2"/>
  <c r="E39" i="2"/>
  <c r="E37" i="2"/>
  <c r="F44" i="1"/>
  <c r="G44" i="1"/>
  <c r="I44" i="1"/>
  <c r="E56" i="2"/>
  <c r="E28" i="2"/>
  <c r="E20" i="2"/>
  <c r="E11" i="2"/>
  <c r="E34" i="2"/>
  <c r="F52" i="1"/>
  <c r="G52" i="1"/>
  <c r="I52" i="1"/>
  <c r="E16" i="2"/>
  <c r="E61" i="2"/>
  <c r="F63" i="1"/>
  <c r="G63" i="1"/>
  <c r="I63" i="1"/>
  <c r="E38" i="2"/>
  <c r="F47" i="1"/>
  <c r="G47" i="1"/>
  <c r="I47" i="1"/>
  <c r="E12" i="2"/>
  <c r="F53" i="1"/>
  <c r="G53" i="1"/>
  <c r="I53" i="1"/>
  <c r="E17" i="2"/>
  <c r="F29" i="1"/>
  <c r="G29" i="1"/>
  <c r="I29" i="1"/>
  <c r="E42" i="2"/>
  <c r="F55" i="1"/>
  <c r="G55" i="1"/>
  <c r="I55" i="1"/>
  <c r="E19" i="2"/>
  <c r="E25" i="2"/>
  <c r="E47" i="2"/>
  <c r="E27" i="2"/>
  <c r="E50" i="2"/>
  <c r="F68" i="1"/>
  <c r="G68" i="1"/>
  <c r="J68" i="1"/>
  <c r="E29" i="2"/>
  <c r="F36" i="1"/>
  <c r="G36" i="1"/>
  <c r="I36" i="1"/>
  <c r="E49" i="2"/>
  <c r="E14" i="2"/>
  <c r="E13" i="2"/>
  <c r="E33" i="2"/>
  <c r="E36" i="2"/>
  <c r="E24" i="2"/>
  <c r="E41" i="2"/>
  <c r="F39" i="1"/>
  <c r="G39" i="1"/>
  <c r="I39" i="1"/>
  <c r="E52" i="2"/>
  <c r="E26" i="2"/>
  <c r="F31" i="1"/>
  <c r="G31" i="1"/>
  <c r="I31" i="1"/>
  <c r="E44" i="2"/>
  <c r="F60" i="1"/>
  <c r="G60" i="1"/>
  <c r="E60" i="2"/>
  <c r="E64" i="2"/>
  <c r="E48" i="2"/>
  <c r="E31" i="2"/>
  <c r="E57" i="2"/>
  <c r="E32" i="2"/>
  <c r="J60" i="1"/>
  <c r="C11" i="1"/>
  <c r="C12" i="1"/>
  <c r="C16" i="1" l="1"/>
  <c r="D18" i="1" s="1"/>
  <c r="O57" i="1"/>
  <c r="O56" i="1"/>
  <c r="O39" i="1"/>
  <c r="C15" i="1"/>
  <c r="F18" i="1" s="1"/>
  <c r="O25" i="1"/>
  <c r="O59" i="1"/>
  <c r="O77" i="1"/>
  <c r="O42" i="1"/>
  <c r="O72" i="1"/>
  <c r="O26" i="1"/>
  <c r="O79" i="1"/>
  <c r="O49" i="1"/>
  <c r="O54" i="1"/>
  <c r="O45" i="1"/>
  <c r="O28" i="1"/>
  <c r="O24" i="1"/>
  <c r="O41" i="1"/>
  <c r="O22" i="1"/>
  <c r="O55" i="1"/>
  <c r="O21" i="1"/>
  <c r="O47" i="1"/>
  <c r="O33" i="1"/>
  <c r="O51" i="1"/>
  <c r="O76" i="1"/>
  <c r="O30" i="1"/>
  <c r="O78" i="1"/>
  <c r="O62" i="1"/>
  <c r="O69" i="1"/>
  <c r="O66" i="1"/>
  <c r="O60" i="1"/>
  <c r="O50" i="1"/>
  <c r="O32" i="1"/>
  <c r="O53" i="1"/>
  <c r="O48" i="1"/>
  <c r="O64" i="1"/>
  <c r="O46" i="1"/>
  <c r="O63" i="1"/>
  <c r="O75" i="1"/>
  <c r="O29" i="1"/>
  <c r="O37" i="1"/>
  <c r="O70" i="1"/>
  <c r="O34" i="1"/>
  <c r="O71" i="1"/>
  <c r="O65" i="1"/>
  <c r="O73" i="1"/>
  <c r="O74" i="1"/>
  <c r="O27" i="1"/>
  <c r="O40" i="1"/>
  <c r="O38" i="1"/>
  <c r="O44" i="1"/>
  <c r="O31" i="1"/>
  <c r="O23" i="1"/>
  <c r="O67" i="1"/>
  <c r="O61" i="1"/>
  <c r="O43" i="1"/>
  <c r="O35" i="1"/>
  <c r="O58" i="1"/>
  <c r="O36" i="1"/>
  <c r="O68" i="1"/>
  <c r="O52" i="1"/>
  <c r="F19" i="1" l="1"/>
  <c r="C18" i="1"/>
</calcChain>
</file>

<file path=xl/sharedStrings.xml><?xml version="1.0" encoding="utf-8"?>
<sst xmlns="http://schemas.openxmlformats.org/spreadsheetml/2006/main" count="627" uniqueCount="319">
  <si>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</si>
  <si>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</si>
  <si>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</si>
  <si>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</si>
  <si>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</si>
  <si>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</si>
  <si>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</si>
  <si>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</si>
  <si>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</si>
  <si>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</si>
  <si>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</si>
  <si>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</si>
  <si>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</si>
  <si>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</si>
  <si>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</si>
  <si>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</si>
  <si>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</si>
  <si>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</si>
  <si>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</si>
  <si>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</si>
  <si>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</si>
  <si>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</si>
  <si>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</si>
  <si>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</si>
  <si>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</si>
  <si>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</si>
  <si>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</si>
  <si>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</si>
  <si>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</si>
  <si>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Locher K</t>
  </si>
  <si>
    <t>BBSAG Bull.8</t>
  </si>
  <si>
    <t>B</t>
  </si>
  <si>
    <t>Diethelm R</t>
  </si>
  <si>
    <t>BBSAG Bull.20</t>
  </si>
  <si>
    <t>v</t>
  </si>
  <si>
    <t>Peter H</t>
  </si>
  <si>
    <t>BBSAG Bull.27</t>
  </si>
  <si>
    <t>BBSAG Bull.53</t>
  </si>
  <si>
    <t>BBSAG Bull.65</t>
  </si>
  <si>
    <t>BRNO 30</t>
  </si>
  <si>
    <t>K</t>
  </si>
  <si>
    <t>BBSAG Bull.101</t>
  </si>
  <si>
    <t>Kohl M</t>
  </si>
  <si>
    <t>BBSAG Bull.114</t>
  </si>
  <si>
    <t>ccd</t>
  </si>
  <si>
    <t>A.Paschke</t>
  </si>
  <si>
    <t>BBSAG 120</t>
  </si>
  <si>
    <t>Misc</t>
  </si>
  <si>
    <t>IBVS 5583</t>
  </si>
  <si>
    <t>I</t>
  </si>
  <si>
    <t>EA/SD:</t>
  </si>
  <si>
    <t>AY Gem / GSC 1336-1027</t>
  </si>
  <si>
    <t>IBVS 5657</t>
  </si>
  <si>
    <t>IBVS 5731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</si>
  <si>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</si>
  <si>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</si>
  <si>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</si>
  <si>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</si>
  <si>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</si>
  <si>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</si>
  <si>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</si>
  <si>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</si>
  <si>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5875</t>
  </si>
  <si>
    <t>IBVS 5874</t>
  </si>
  <si>
    <t>Add cycle</t>
  </si>
  <si>
    <t>Old Cycle</t>
  </si>
  <si>
    <t>IBVS 5992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</si>
  <si>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</si>
  <si>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</si>
  <si>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</si>
  <si>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</si>
  <si>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</si>
  <si>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</si>
  <si>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</si>
  <si>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</si>
  <si>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</si>
  <si>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</si>
  <si>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</si>
  <si>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</si>
  <si>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</si>
  <si>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</si>
  <si>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2425641.171 </t>
  </si>
  <si>
    <t> 29.01.1929 16:06 </t>
  </si>
  <si>
    <t> -0.069 </t>
  </si>
  <si>
    <t>P </t>
  </si>
  <si>
    <t> H.Rügemer </t>
  </si>
  <si>
    <t> BZ 16.30 </t>
  </si>
  <si>
    <t>2427366.577 </t>
  </si>
  <si>
    <t> 21.10.1933 01:50 </t>
  </si>
  <si>
    <t> 0.024 </t>
  </si>
  <si>
    <t> O.Morgenroth </t>
  </si>
  <si>
    <t> AN 251.327 </t>
  </si>
  <si>
    <t>2427369.539 </t>
  </si>
  <si>
    <t> 24.10.1933 00:56 </t>
  </si>
  <si>
    <t> -0.067 </t>
  </si>
  <si>
    <t>2427910.129 </t>
  </si>
  <si>
    <t> 17.04.1935 15:05 </t>
  </si>
  <si>
    <t> 0.027 </t>
  </si>
  <si>
    <t>V </t>
  </si>
  <si>
    <t> A.Soloviev </t>
  </si>
  <si>
    <t> CTAD 8 </t>
  </si>
  <si>
    <t>2427913.184 </t>
  </si>
  <si>
    <t> 20.04.1935 16:24 </t>
  </si>
  <si>
    <t> 0.028 </t>
  </si>
  <si>
    <t>2427916.213 </t>
  </si>
  <si>
    <t> 23.04.1935 17:06 </t>
  </si>
  <si>
    <t> 0.004 </t>
  </si>
  <si>
    <t> PZ 5.173 </t>
  </si>
  <si>
    <t>2428258.229 </t>
  </si>
  <si>
    <t> 30.03.1936 17:29 </t>
  </si>
  <si>
    <t> 0.011 </t>
  </si>
  <si>
    <t>2428487.262 </t>
  </si>
  <si>
    <t> 14.11.1936 18:17 </t>
  </si>
  <si>
    <t> 0.020 </t>
  </si>
  <si>
    <t>2429786.537 </t>
  </si>
  <si>
    <t> 06.06.1940 00:53 </t>
  </si>
  <si>
    <t> -0.033 </t>
  </si>
  <si>
    <t> S.Gaposchkin </t>
  </si>
  <si>
    <t> HA 113.74 </t>
  </si>
  <si>
    <t>2432985.323 </t>
  </si>
  <si>
    <t> 09.03.1949 19:45 </t>
  </si>
  <si>
    <t> 0.055 </t>
  </si>
  <si>
    <t> R.Szafraniec </t>
  </si>
  <si>
    <t> AAC 5.8 </t>
  </si>
  <si>
    <t>2433385.299 </t>
  </si>
  <si>
    <t> 13.04.1950 19:10 </t>
  </si>
  <si>
    <t> 0.003 </t>
  </si>
  <si>
    <t>2433568.545 </t>
  </si>
  <si>
    <t> 14.10.1950 01:04 </t>
  </si>
  <si>
    <t> 0.030 </t>
  </si>
  <si>
    <t> AAC 5.11 </t>
  </si>
  <si>
    <t>2434698.381 </t>
  </si>
  <si>
    <t> 16.11.1953 21:08 </t>
  </si>
  <si>
    <t> 0.015 </t>
  </si>
  <si>
    <t> AAC 5.190 </t>
  </si>
  <si>
    <t>2435165.573 </t>
  </si>
  <si>
    <t> 27.02.1955 01:45 </t>
  </si>
  <si>
    <t> -0.001 </t>
  </si>
  <si>
    <t> B.S.Whitney </t>
  </si>
  <si>
    <t> AJ 64.261 </t>
  </si>
  <si>
    <t>2435510.638 </t>
  </si>
  <si>
    <t> 07.02.1956 03:18 </t>
  </si>
  <si>
    <t> 0.001 </t>
  </si>
  <si>
    <t>2435571.704 </t>
  </si>
  <si>
    <t> 08.04.1956 04:53 </t>
  </si>
  <si>
    <t> -0.006 </t>
  </si>
  <si>
    <t>2435892.342 </t>
  </si>
  <si>
    <t> 22.02.1957 20:12 </t>
  </si>
  <si>
    <t> H.Huth </t>
  </si>
  <si>
    <t> MVS 2.123 </t>
  </si>
  <si>
    <t>2436130.558 </t>
  </si>
  <si>
    <t> 19.10.1957 01:23 </t>
  </si>
  <si>
    <t> 0.031 </t>
  </si>
  <si>
    <t> AA 8.190 </t>
  </si>
  <si>
    <t>2436194.664 </t>
  </si>
  <si>
    <t> 22.12.1957 03:56 </t>
  </si>
  <si>
    <t> 0.010 </t>
  </si>
  <si>
    <t>2436249.608 </t>
  </si>
  <si>
    <t> 15.02.1958 02:35 </t>
  </si>
  <si>
    <t> -0.012 </t>
  </si>
  <si>
    <t>2436631.326 </t>
  </si>
  <si>
    <t> 03.03.1959 19:49 </t>
  </si>
  <si>
    <t> 0.000 </t>
  </si>
  <si>
    <t> AA 10.69 </t>
  </si>
  <si>
    <t>2436982.454 </t>
  </si>
  <si>
    <t> 17.02.1960 22:53 </t>
  </si>
  <si>
    <t> -0.042 </t>
  </si>
  <si>
    <t>2437367.302 </t>
  </si>
  <si>
    <t> 08.03.1961 19:14 </t>
  </si>
  <si>
    <t> 0.046 </t>
  </si>
  <si>
    <t> K.Häussler </t>
  </si>
  <si>
    <t> HABZ 92 </t>
  </si>
  <si>
    <t>2438002.406 </t>
  </si>
  <si>
    <t> 03.12.1962 21:44 </t>
  </si>
  <si>
    <t> -0.009 </t>
  </si>
  <si>
    <t>2438399.375 </t>
  </si>
  <si>
    <t> 04.01.1964 21:00 </t>
  </si>
  <si>
    <t> -0.014 </t>
  </si>
  <si>
    <t>2439535.347 </t>
  </si>
  <si>
    <t> 13.02.1967 20:19 </t>
  </si>
  <si>
    <t>2441761.448 </t>
  </si>
  <si>
    <t> 19.03.1973 22:45 </t>
  </si>
  <si>
    <t> -0.010 </t>
  </si>
  <si>
    <t> K.Locher </t>
  </si>
  <si>
    <t> BBS 8 </t>
  </si>
  <si>
    <t>2442439.360 </t>
  </si>
  <si>
    <t> 26.01.1975 20:38 </t>
  </si>
  <si>
    <t> -0.008 </t>
  </si>
  <si>
    <t> R.Diethelm </t>
  </si>
  <si>
    <t> BBS 20 </t>
  </si>
  <si>
    <t>2442439.364 </t>
  </si>
  <si>
    <t> 26.01.1975 20:44 </t>
  </si>
  <si>
    <t> -0.004 </t>
  </si>
  <si>
    <t>2442839.363 </t>
  </si>
  <si>
    <t> 01.03.1976 20:42 </t>
  </si>
  <si>
    <t>2442839.400 </t>
  </si>
  <si>
    <t> 01.03.1976 21:36 </t>
  </si>
  <si>
    <t> H.Peter </t>
  </si>
  <si>
    <t> BBS 27 </t>
  </si>
  <si>
    <t>2442842.436 </t>
  </si>
  <si>
    <t> 04.03.1976 22:27 </t>
  </si>
  <si>
    <t>2444662.422 </t>
  </si>
  <si>
    <t> 26.02.1981 22:07 </t>
  </si>
  <si>
    <t> BBS 53 </t>
  </si>
  <si>
    <t>2445401.410 </t>
  </si>
  <si>
    <t> 07.03.1983 21:50 </t>
  </si>
  <si>
    <t> 0.002 </t>
  </si>
  <si>
    <t> BBS 65 </t>
  </si>
  <si>
    <t>2446827.464 </t>
  </si>
  <si>
    <t> 31.01.1987 23:08 </t>
  </si>
  <si>
    <t> T.Cervinka </t>
  </si>
  <si>
    <t> BRNO 30 </t>
  </si>
  <si>
    <t>2446827.470 </t>
  </si>
  <si>
    <t> 31.01.1987 23:16 </t>
  </si>
  <si>
    <t> 0.007 </t>
  </si>
  <si>
    <t> P.Hajek </t>
  </si>
  <si>
    <t>2448699.332 </t>
  </si>
  <si>
    <t> 17.03.1992 19:58 </t>
  </si>
  <si>
    <t> -0.018 </t>
  </si>
  <si>
    <t> BBS 101 </t>
  </si>
  <si>
    <t>2450464.330 </t>
  </si>
  <si>
    <t> 15.01.1997 19:55 </t>
  </si>
  <si>
    <t> -0.030 </t>
  </si>
  <si>
    <t> M.Kohl </t>
  </si>
  <si>
    <t> BBS 114 </t>
  </si>
  <si>
    <t>2450519.305 </t>
  </si>
  <si>
    <t> 11.03.1997 19:19 </t>
  </si>
  <si>
    <t> -0.020 </t>
  </si>
  <si>
    <t>2450864.3452 </t>
  </si>
  <si>
    <t> 19.02.1998 20:17 </t>
  </si>
  <si>
    <t> -0.0425 </t>
  </si>
  <si>
    <t> M.Netolicky </t>
  </si>
  <si>
    <t> BRNO 32 </t>
  </si>
  <si>
    <t>2451163.596 </t>
  </si>
  <si>
    <t> 16.12.1998 02:18 </t>
  </si>
  <si>
    <t> -0.049 </t>
  </si>
  <si>
    <t>E </t>
  </si>
  <si>
    <t>?</t>
  </si>
  <si>
    <t> A.Paschke </t>
  </si>
  <si>
    <t> BBS 120 </t>
  </si>
  <si>
    <t>2453029.3764 </t>
  </si>
  <si>
    <t> 24.01.2004 21:02 </t>
  </si>
  <si>
    <t> -0.0490 </t>
  </si>
  <si>
    <t> M.Zejda </t>
  </si>
  <si>
    <t>IBVS 5583 </t>
  </si>
  <si>
    <t>2453404.963 </t>
  </si>
  <si>
    <t> 03.02.2005 11:06 </t>
  </si>
  <si>
    <t> -0.061 </t>
  </si>
  <si>
    <t> Hirosawa </t>
  </si>
  <si>
    <t>VSB 44 </t>
  </si>
  <si>
    <t>2453432.4538 </t>
  </si>
  <si>
    <t> 02.03.2005 22:53 </t>
  </si>
  <si>
    <t> -0.0534 </t>
  </si>
  <si>
    <t>o</t>
  </si>
  <si>
    <t> U.Schmidt </t>
  </si>
  <si>
    <t>BAVM 173 </t>
  </si>
  <si>
    <t>2453670.6431 </t>
  </si>
  <si>
    <t> 27.10.2005 03:26 </t>
  </si>
  <si>
    <t> -0.0488 </t>
  </si>
  <si>
    <t>C </t>
  </si>
  <si>
    <t>-I</t>
  </si>
  <si>
    <t> P.Frank </t>
  </si>
  <si>
    <t>BAVM 178 </t>
  </si>
  <si>
    <t>2453743.916 </t>
  </si>
  <si>
    <t> 08.01.2006 09:59 </t>
  </si>
  <si>
    <t>5604</t>
  </si>
  <si>
    <t> -0.063 </t>
  </si>
  <si>
    <t> K.Nagai et al. </t>
  </si>
  <si>
    <t>VSB 45 </t>
  </si>
  <si>
    <t>2453765.3025 </t>
  </si>
  <si>
    <t> 29.01.2006 19:15 </t>
  </si>
  <si>
    <t>5611</t>
  </si>
  <si>
    <t> -0.0525 </t>
  </si>
  <si>
    <t> K.&amp; M.Rätz </t>
  </si>
  <si>
    <t>BAVM 186 </t>
  </si>
  <si>
    <t>2454165.3331 </t>
  </si>
  <si>
    <t> 05.03.2007 19:59 </t>
  </si>
  <si>
    <t>5742</t>
  </si>
  <si>
    <t> -0.0501 </t>
  </si>
  <si>
    <t> H.Jungbluth </t>
  </si>
  <si>
    <t>2454171.4391 </t>
  </si>
  <si>
    <t> 11.03.2007 22:32 </t>
  </si>
  <si>
    <t>5744</t>
  </si>
  <si>
    <t> -0.0514 </t>
  </si>
  <si>
    <t>2454507.3393 </t>
  </si>
  <si>
    <t> 10.02.2008 20:08 </t>
  </si>
  <si>
    <t>5854</t>
  </si>
  <si>
    <t> -0.0526 </t>
  </si>
  <si>
    <t> F.Agerer </t>
  </si>
  <si>
    <t>BAVM 201 </t>
  </si>
  <si>
    <t>2454809.6496 </t>
  </si>
  <si>
    <t> 09.12.2008 03:35 </t>
  </si>
  <si>
    <t>5953</t>
  </si>
  <si>
    <t> -0.0537 </t>
  </si>
  <si>
    <t>BAVM 203 </t>
  </si>
  <si>
    <t>2455579.1742 </t>
  </si>
  <si>
    <t> 17.01.2011 16:10 </t>
  </si>
  <si>
    <t>6205</t>
  </si>
  <si>
    <t> H.Itoh </t>
  </si>
  <si>
    <t>VSB 53 </t>
  </si>
  <si>
    <t>2455609.7056 </t>
  </si>
  <si>
    <t> 17.02.2011 04:56 </t>
  </si>
  <si>
    <t>6215</t>
  </si>
  <si>
    <t> -0.0539 </t>
  </si>
  <si>
    <t>IBVS 5992 </t>
  </si>
  <si>
    <t>2455970.0361 </t>
  </si>
  <si>
    <t> 12.02.2012 12:51 </t>
  </si>
  <si>
    <t>6333</t>
  </si>
  <si>
    <t> -0.0541 </t>
  </si>
  <si>
    <t>Rc</t>
  </si>
  <si>
    <t> K.Shiokawa </t>
  </si>
  <si>
    <t>VSB 55 </t>
  </si>
  <si>
    <t>2457069.3448 </t>
  </si>
  <si>
    <t> 15.02.2015 20:16 </t>
  </si>
  <si>
    <t>6693</t>
  </si>
  <si>
    <t> -0.0593 </t>
  </si>
  <si>
    <t>BAVM 239 </t>
  </si>
  <si>
    <t>II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</si>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</sst>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 wrapText="1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5" fillId="0" borderId="0" xfId="43" applyFont="1" applyAlignment="1">
      <alignment horizontal="left"/>
    </xf>
    <xf numFmtId="0" fontId="15" fillId="0" borderId="0" xfId="43" applyFont="1" applyAlignment="1">
      <alignment horizontal="left" wrapText="1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Gem - O-C Diagr.</a:t>
            </a:r>
          </a:p>
        </c:rich>
      </c:tx>
      <c:layout>
        <c:manualLayout>
          <c:xMode val="edge"/>
          <c:yMode val="edge"/>
          <c:x val="0.36412396819962722"/>
          <c:y val="4.3479749646678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7774450622367"/>
          <c:y val="0.20187043298379687"/>
          <c:w val="0.7090833611226427"/>
          <c:h val="0.46896054431620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91-4626-968F-D5AFBB11E2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-6.9369799999549286E-2</c:v>
                </c:pt>
                <c:pt idx="1">
                  <c:v>2.4493200002325466E-2</c:v>
                </c:pt>
                <c:pt idx="2">
                  <c:v>-6.7156599998270394E-2</c:v>
                </c:pt>
                <c:pt idx="3">
                  <c:v>2.6828800000657793E-2</c:v>
                </c:pt>
                <c:pt idx="4">
                  <c:v>2.8179000000818633E-2</c:v>
                </c:pt>
                <c:pt idx="5">
                  <c:v>3.5291999993205536E-3</c:v>
                </c:pt>
                <c:pt idx="6">
                  <c:v>1.0751599998911843E-2</c:v>
                </c:pt>
                <c:pt idx="7">
                  <c:v>2.001659999586991E-2</c:v>
                </c:pt>
                <c:pt idx="8">
                  <c:v>-3.2973299999866867E-2</c:v>
                </c:pt>
                <c:pt idx="9">
                  <c:v>5.4861199998413213E-2</c:v>
                </c:pt>
                <c:pt idx="10">
                  <c:v>2.7373999982955866E-3</c:v>
                </c:pt>
                <c:pt idx="11">
                  <c:v>2.9749399996944703E-2</c:v>
                </c:pt>
                <c:pt idx="12">
                  <c:v>1.5323400002671406E-2</c:v>
                </c:pt>
                <c:pt idx="13">
                  <c:v>-1.0960000072373077E-3</c:v>
                </c:pt>
                <c:pt idx="14">
                  <c:v>1.4765999949304387E-3</c:v>
                </c:pt>
                <c:pt idx="15">
                  <c:v>-5.5194000015035272E-3</c:v>
                </c:pt>
                <c:pt idx="16">
                  <c:v>-7.4840000161202624E-4</c:v>
                </c:pt>
                <c:pt idx="17">
                  <c:v>3.0567199995857663E-2</c:v>
                </c:pt>
                <c:pt idx="18">
                  <c:v>9.921399992890656E-3</c:v>
                </c:pt>
                <c:pt idx="19">
                  <c:v>-1.1774999999033753E-2</c:v>
                </c:pt>
                <c:pt idx="21">
                  <c:v>-4.1727000003447756E-2</c:v>
                </c:pt>
                <c:pt idx="22">
                  <c:v>4.6398200000112411E-2</c:v>
                </c:pt>
                <c:pt idx="23">
                  <c:v>-8.7601999985054135E-3</c:v>
                </c:pt>
                <c:pt idx="24">
                  <c:v>-1.4234200003556907E-2</c:v>
                </c:pt>
                <c:pt idx="25">
                  <c:v>4.0200000512413681E-5</c:v>
                </c:pt>
                <c:pt idx="26">
                  <c:v>-9.664000004704576E-3</c:v>
                </c:pt>
                <c:pt idx="27">
                  <c:v>-7.9196000006049871E-3</c:v>
                </c:pt>
                <c:pt idx="28">
                  <c:v>-3.9195999997900799E-3</c:v>
                </c:pt>
                <c:pt idx="29">
                  <c:v>-3.3043400006135926E-2</c:v>
                </c:pt>
                <c:pt idx="30">
                  <c:v>3.9565999977639876E-3</c:v>
                </c:pt>
                <c:pt idx="31">
                  <c:v>-1.3693200002308004E-2</c:v>
                </c:pt>
                <c:pt idx="32">
                  <c:v>-2.9740000027231872E-3</c:v>
                </c:pt>
                <c:pt idx="33">
                  <c:v>1.7743999997037463E-3</c:v>
                </c:pt>
                <c:pt idx="34">
                  <c:v>1.3178000008338131E-3</c:v>
                </c:pt>
                <c:pt idx="35">
                  <c:v>7.317800002056174E-3</c:v>
                </c:pt>
                <c:pt idx="36">
                  <c:v>-1.8009599996730685E-2</c:v>
                </c:pt>
                <c:pt idx="37">
                  <c:v>-2.9593999999633525E-2</c:v>
                </c:pt>
                <c:pt idx="38">
                  <c:v>-2.0290400003432296E-2</c:v>
                </c:pt>
                <c:pt idx="40">
                  <c:v>-4.939820000436157E-2</c:v>
                </c:pt>
                <c:pt idx="42">
                  <c:v>-6.1351399999693967E-2</c:v>
                </c:pt>
                <c:pt idx="45">
                  <c:v>-6.3479200005531311E-2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91-4626-968F-D5AFBB11E2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9">
                  <c:v>-4.2517800000496209E-2</c:v>
                </c:pt>
                <c:pt idx="43">
                  <c:v>-5.3399600001284853E-2</c:v>
                </c:pt>
                <c:pt idx="44">
                  <c:v>-4.878399999870453E-2</c:v>
                </c:pt>
                <c:pt idx="46">
                  <c:v>-5.2527800005918834E-2</c:v>
                </c:pt>
                <c:pt idx="47">
                  <c:v>-5.005160000291653E-2</c:v>
                </c:pt>
                <c:pt idx="48">
                  <c:v>-5.1351200003409758E-2</c:v>
                </c:pt>
                <c:pt idx="49">
                  <c:v>-5.2629200006776955E-2</c:v>
                </c:pt>
                <c:pt idx="55">
                  <c:v>-5.9311400000296999E-2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91-4626-968F-D5AFBB11E2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1">
                  <c:v>-4.9026000000594649E-2</c:v>
                </c:pt>
                <c:pt idx="50">
                  <c:v>-5.3659400007745717E-2</c:v>
                </c:pt>
                <c:pt idx="51">
                  <c:v>-5.3808800003025681E-2</c:v>
                </c:pt>
                <c:pt idx="52">
                  <c:v>-4.8808999999891967E-2</c:v>
                </c:pt>
                <c:pt idx="53">
                  <c:v>-5.3907000001345295E-2</c:v>
                </c:pt>
                <c:pt idx="54">
                  <c:v>-5.4083399998489767E-2</c:v>
                </c:pt>
                <c:pt idx="56">
                  <c:v>-5.8638800001062918E-2</c:v>
                </c:pt>
                <c:pt idx="57">
                  <c:v>-6.2012800000957213E-2</c:v>
                </c:pt>
                <c:pt idx="58">
                  <c:v>-6.618739999976242E-2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91-4626-968F-D5AFBB11E2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91-4626-968F-D5AFBB11E2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91-4626-968F-D5AFBB11E2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91-4626-968F-D5AFBB11E2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3.878148666803214E-2</c:v>
                </c:pt>
                <c:pt idx="1">
                  <c:v>3.3422727240125849E-2</c:v>
                </c:pt>
                <c:pt idx="2">
                  <c:v>3.341324271016495E-2</c:v>
                </c:pt>
                <c:pt idx="3">
                  <c:v>3.1734480907086346E-2</c:v>
                </c:pt>
                <c:pt idx="4">
                  <c:v>3.1724996377125447E-2</c:v>
                </c:pt>
                <c:pt idx="5">
                  <c:v>3.1715511847164556E-2</c:v>
                </c:pt>
                <c:pt idx="6">
                  <c:v>3.0653244491544194E-2</c:v>
                </c:pt>
                <c:pt idx="7">
                  <c:v>2.9941904744476985E-2</c:v>
                </c:pt>
                <c:pt idx="8">
                  <c:v>2.5906237246115703E-2</c:v>
                </c:pt>
                <c:pt idx="9">
                  <c:v>1.5971192112077051E-2</c:v>
                </c:pt>
                <c:pt idx="10">
                  <c:v>1.4728718687199662E-2</c:v>
                </c:pt>
                <c:pt idx="11">
                  <c:v>1.4159646889545897E-2</c:v>
                </c:pt>
                <c:pt idx="12">
                  <c:v>1.0650370804014344E-2</c:v>
                </c:pt>
                <c:pt idx="13">
                  <c:v>9.1992377199972431E-3</c:v>
                </c:pt>
                <c:pt idx="14">
                  <c:v>8.1274858344159845E-3</c:v>
                </c:pt>
                <c:pt idx="15">
                  <c:v>7.9377952351980634E-3</c:v>
                </c:pt>
                <c:pt idx="16">
                  <c:v>6.9419195893039741E-3</c:v>
                </c:pt>
                <c:pt idx="17">
                  <c:v>6.2021262523540791E-3</c:v>
                </c:pt>
                <c:pt idx="18">
                  <c:v>6.0029511231752611E-3</c:v>
                </c:pt>
                <c:pt idx="19">
                  <c:v>5.8322295838791321E-3</c:v>
                </c:pt>
                <c:pt idx="20">
                  <c:v>4.6466633387671208E-3</c:v>
                </c:pt>
                <c:pt idx="21">
                  <c:v>3.5559423932640709E-3</c:v>
                </c:pt>
                <c:pt idx="22">
                  <c:v>2.3608916181911636E-3</c:v>
                </c:pt>
                <c:pt idx="23">
                  <c:v>3.8810938632477705E-4</c:v>
                </c:pt>
                <c:pt idx="24">
                  <c:v>-8.4487950859171365E-4</c:v>
                </c:pt>
                <c:pt idx="25">
                  <c:v>-4.3731246540450585E-3</c:v>
                </c:pt>
                <c:pt idx="26">
                  <c:v>-1.1287346995538308E-2</c:v>
                </c:pt>
                <c:pt idx="27">
                  <c:v>-1.3392912646857238E-2</c:v>
                </c:pt>
                <c:pt idx="28">
                  <c:v>-1.3392912646857238E-2</c:v>
                </c:pt>
                <c:pt idx="29">
                  <c:v>-1.4635386071734625E-2</c:v>
                </c:pt>
                <c:pt idx="30">
                  <c:v>-1.4635386071734625E-2</c:v>
                </c:pt>
                <c:pt idx="31">
                  <c:v>-1.4644870601695521E-2</c:v>
                </c:pt>
                <c:pt idx="32">
                  <c:v>-2.0297650458389591E-2</c:v>
                </c:pt>
                <c:pt idx="33">
                  <c:v>-2.2592906708926445E-2</c:v>
                </c:pt>
                <c:pt idx="34">
                  <c:v>-2.7022182200664914E-2</c:v>
                </c:pt>
                <c:pt idx="35">
                  <c:v>-2.7022182200664914E-2</c:v>
                </c:pt>
                <c:pt idx="36">
                  <c:v>-3.2836199066694216E-2</c:v>
                </c:pt>
                <c:pt idx="37">
                  <c:v>-3.8318257384092155E-2</c:v>
                </c:pt>
                <c:pt idx="38">
                  <c:v>-3.848897892338829E-2</c:v>
                </c:pt>
                <c:pt idx="39">
                  <c:v>-3.9560730808969546E-2</c:v>
                </c:pt>
                <c:pt idx="40">
                  <c:v>-4.0490214745137358E-2</c:v>
                </c:pt>
                <c:pt idx="41">
                  <c:v>-4.628526255124487E-2</c:v>
                </c:pt>
                <c:pt idx="42">
                  <c:v>-4.7451859736435092E-2</c:v>
                </c:pt>
                <c:pt idx="43">
                  <c:v>-4.7537220506083153E-2</c:v>
                </c:pt>
                <c:pt idx="44">
                  <c:v>-4.8277013843033047E-2</c:v>
                </c:pt>
                <c:pt idx="45">
                  <c:v>-4.8504642562094552E-2</c:v>
                </c:pt>
                <c:pt idx="46">
                  <c:v>-4.8571034271820829E-2</c:v>
                </c:pt>
                <c:pt idx="47">
                  <c:v>-4.9813507696698213E-2</c:v>
                </c:pt>
                <c:pt idx="48">
                  <c:v>-4.983247675662001E-2</c:v>
                </c:pt>
                <c:pt idx="49">
                  <c:v>-5.0875775052318578E-2</c:v>
                </c:pt>
                <c:pt idx="50">
                  <c:v>-5.1814743518447288E-2</c:v>
                </c:pt>
                <c:pt idx="51">
                  <c:v>-5.1843197108329978E-2</c:v>
                </c:pt>
                <c:pt idx="52">
                  <c:v>-5.4204845068593105E-2</c:v>
                </c:pt>
                <c:pt idx="53">
                  <c:v>-5.4299690368202064E-2</c:v>
                </c:pt>
                <c:pt idx="54">
                  <c:v>-5.5418864903587807E-2</c:v>
                </c:pt>
                <c:pt idx="55">
                  <c:v>-5.8833295689510401E-2</c:v>
                </c:pt>
                <c:pt idx="56">
                  <c:v>-5.9905047575091658E-2</c:v>
                </c:pt>
                <c:pt idx="57">
                  <c:v>-6.113803647000815E-2</c:v>
                </c:pt>
                <c:pt idx="58">
                  <c:v>-6.4713704265265973E-2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91-4626-968F-D5AFBB11E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3408"/>
        <c:axId val="1"/>
      </c:scatterChart>
      <c:valAx>
        <c:axId val="71817340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705694396896043"/>
              <c:y val="0.76400177670098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399901099319103E-2"/>
              <c:y val="0.341626973551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3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39168473506026"/>
          <c:y val="0.81230898445386623"/>
          <c:w val="0.70289988207995746"/>
          <c:h val="0.160000323036543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Gem - O-C Diagr.</a:t>
            </a:r>
          </a:p>
        </c:rich>
      </c:tx>
      <c:layout>
        <c:manualLayout>
          <c:xMode val="edge"/>
          <c:yMode val="edge"/>
          <c:x val="0.36022630082632079"/>
          <c:y val="4.3345087998969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89185367202567"/>
          <c:y val="0.20124557739146834"/>
          <c:w val="0.7150762897856745"/>
          <c:h val="0.464412870903388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50-485A-BE2C-34BE14DC18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-6.9369799999549286E-2</c:v>
                </c:pt>
                <c:pt idx="1">
                  <c:v>2.4493200002325466E-2</c:v>
                </c:pt>
                <c:pt idx="2">
                  <c:v>-6.7156599998270394E-2</c:v>
                </c:pt>
                <c:pt idx="3">
                  <c:v>2.6828800000657793E-2</c:v>
                </c:pt>
                <c:pt idx="4">
                  <c:v>2.8179000000818633E-2</c:v>
                </c:pt>
                <c:pt idx="5">
                  <c:v>3.5291999993205536E-3</c:v>
                </c:pt>
                <c:pt idx="6">
                  <c:v>1.0751599998911843E-2</c:v>
                </c:pt>
                <c:pt idx="7">
                  <c:v>2.001659999586991E-2</c:v>
                </c:pt>
                <c:pt idx="8">
                  <c:v>-3.2973299999866867E-2</c:v>
                </c:pt>
                <c:pt idx="9">
                  <c:v>5.4861199998413213E-2</c:v>
                </c:pt>
                <c:pt idx="10">
                  <c:v>2.7373999982955866E-3</c:v>
                </c:pt>
                <c:pt idx="11">
                  <c:v>2.9749399996944703E-2</c:v>
                </c:pt>
                <c:pt idx="12">
                  <c:v>1.5323400002671406E-2</c:v>
                </c:pt>
                <c:pt idx="13">
                  <c:v>-1.0960000072373077E-3</c:v>
                </c:pt>
                <c:pt idx="14">
                  <c:v>1.4765999949304387E-3</c:v>
                </c:pt>
                <c:pt idx="15">
                  <c:v>-5.5194000015035272E-3</c:v>
                </c:pt>
                <c:pt idx="16">
                  <c:v>-7.4840000161202624E-4</c:v>
                </c:pt>
                <c:pt idx="17">
                  <c:v>3.0567199995857663E-2</c:v>
                </c:pt>
                <c:pt idx="18">
                  <c:v>9.921399992890656E-3</c:v>
                </c:pt>
                <c:pt idx="19">
                  <c:v>-1.1774999999033753E-2</c:v>
                </c:pt>
                <c:pt idx="21">
                  <c:v>-4.1727000003447756E-2</c:v>
                </c:pt>
                <c:pt idx="22">
                  <c:v>4.6398200000112411E-2</c:v>
                </c:pt>
                <c:pt idx="23">
                  <c:v>-8.7601999985054135E-3</c:v>
                </c:pt>
                <c:pt idx="24">
                  <c:v>-1.4234200003556907E-2</c:v>
                </c:pt>
                <c:pt idx="25">
                  <c:v>4.0200000512413681E-5</c:v>
                </c:pt>
                <c:pt idx="26">
                  <c:v>-9.664000004704576E-3</c:v>
                </c:pt>
                <c:pt idx="27">
                  <c:v>-7.9196000006049871E-3</c:v>
                </c:pt>
                <c:pt idx="28">
                  <c:v>-3.9195999997900799E-3</c:v>
                </c:pt>
                <c:pt idx="29">
                  <c:v>-3.3043400006135926E-2</c:v>
                </c:pt>
                <c:pt idx="30">
                  <c:v>3.9565999977639876E-3</c:v>
                </c:pt>
                <c:pt idx="31">
                  <c:v>-1.3693200002308004E-2</c:v>
                </c:pt>
                <c:pt idx="32">
                  <c:v>-2.9740000027231872E-3</c:v>
                </c:pt>
                <c:pt idx="33">
                  <c:v>1.7743999997037463E-3</c:v>
                </c:pt>
                <c:pt idx="34">
                  <c:v>1.3178000008338131E-3</c:v>
                </c:pt>
                <c:pt idx="35">
                  <c:v>7.317800002056174E-3</c:v>
                </c:pt>
                <c:pt idx="36">
                  <c:v>-1.8009599996730685E-2</c:v>
                </c:pt>
                <c:pt idx="37">
                  <c:v>-2.9593999999633525E-2</c:v>
                </c:pt>
                <c:pt idx="38">
                  <c:v>-2.0290400003432296E-2</c:v>
                </c:pt>
                <c:pt idx="40">
                  <c:v>-4.939820000436157E-2</c:v>
                </c:pt>
                <c:pt idx="42">
                  <c:v>-6.1351399999693967E-2</c:v>
                </c:pt>
                <c:pt idx="45">
                  <c:v>-6.3479200005531311E-2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50-485A-BE2C-34BE14DC18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9">
                  <c:v>-4.2517800000496209E-2</c:v>
                </c:pt>
                <c:pt idx="43">
                  <c:v>-5.3399600001284853E-2</c:v>
                </c:pt>
                <c:pt idx="44">
                  <c:v>-4.878399999870453E-2</c:v>
                </c:pt>
                <c:pt idx="46">
                  <c:v>-5.2527800005918834E-2</c:v>
                </c:pt>
                <c:pt idx="47">
                  <c:v>-5.005160000291653E-2</c:v>
                </c:pt>
                <c:pt idx="48">
                  <c:v>-5.1351200003409758E-2</c:v>
                </c:pt>
                <c:pt idx="49">
                  <c:v>-5.2629200006776955E-2</c:v>
                </c:pt>
                <c:pt idx="55">
                  <c:v>-5.9311400000296999E-2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50-485A-BE2C-34BE14DC18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1">
                  <c:v>-4.9026000000594649E-2</c:v>
                </c:pt>
                <c:pt idx="50">
                  <c:v>-5.3659400007745717E-2</c:v>
                </c:pt>
                <c:pt idx="51">
                  <c:v>-5.3808800003025681E-2</c:v>
                </c:pt>
                <c:pt idx="52">
                  <c:v>-4.8808999999891967E-2</c:v>
                </c:pt>
                <c:pt idx="53">
                  <c:v>-5.3907000001345295E-2</c:v>
                </c:pt>
                <c:pt idx="54">
                  <c:v>-5.4083399998489767E-2</c:v>
                </c:pt>
                <c:pt idx="56">
                  <c:v>-5.8638800001062918E-2</c:v>
                </c:pt>
                <c:pt idx="57">
                  <c:v>-6.2012800000957213E-2</c:v>
                </c:pt>
                <c:pt idx="58">
                  <c:v>-6.618739999976242E-2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50-485A-BE2C-34BE14DC18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50-485A-BE2C-34BE14DC18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50-485A-BE2C-34BE14DC18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50-485A-BE2C-34BE14DC18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3.878148666803214E-2</c:v>
                </c:pt>
                <c:pt idx="1">
                  <c:v>3.3422727240125849E-2</c:v>
                </c:pt>
                <c:pt idx="2">
                  <c:v>3.341324271016495E-2</c:v>
                </c:pt>
                <c:pt idx="3">
                  <c:v>3.1734480907086346E-2</c:v>
                </c:pt>
                <c:pt idx="4">
                  <c:v>3.1724996377125447E-2</c:v>
                </c:pt>
                <c:pt idx="5">
                  <c:v>3.1715511847164556E-2</c:v>
                </c:pt>
                <c:pt idx="6">
                  <c:v>3.0653244491544194E-2</c:v>
                </c:pt>
                <c:pt idx="7">
                  <c:v>2.9941904744476985E-2</c:v>
                </c:pt>
                <c:pt idx="8">
                  <c:v>2.5906237246115703E-2</c:v>
                </c:pt>
                <c:pt idx="9">
                  <c:v>1.5971192112077051E-2</c:v>
                </c:pt>
                <c:pt idx="10">
                  <c:v>1.4728718687199662E-2</c:v>
                </c:pt>
                <c:pt idx="11">
                  <c:v>1.4159646889545897E-2</c:v>
                </c:pt>
                <c:pt idx="12">
                  <c:v>1.0650370804014344E-2</c:v>
                </c:pt>
                <c:pt idx="13">
                  <c:v>9.1992377199972431E-3</c:v>
                </c:pt>
                <c:pt idx="14">
                  <c:v>8.1274858344159845E-3</c:v>
                </c:pt>
                <c:pt idx="15">
                  <c:v>7.9377952351980634E-3</c:v>
                </c:pt>
                <c:pt idx="16">
                  <c:v>6.9419195893039741E-3</c:v>
                </c:pt>
                <c:pt idx="17">
                  <c:v>6.2021262523540791E-3</c:v>
                </c:pt>
                <c:pt idx="18">
                  <c:v>6.0029511231752611E-3</c:v>
                </c:pt>
                <c:pt idx="19">
                  <c:v>5.8322295838791321E-3</c:v>
                </c:pt>
                <c:pt idx="20">
                  <c:v>4.6466633387671208E-3</c:v>
                </c:pt>
                <c:pt idx="21">
                  <c:v>3.5559423932640709E-3</c:v>
                </c:pt>
                <c:pt idx="22">
                  <c:v>2.3608916181911636E-3</c:v>
                </c:pt>
                <c:pt idx="23">
                  <c:v>3.8810938632477705E-4</c:v>
                </c:pt>
                <c:pt idx="24">
                  <c:v>-8.4487950859171365E-4</c:v>
                </c:pt>
                <c:pt idx="25">
                  <c:v>-4.3731246540450585E-3</c:v>
                </c:pt>
                <c:pt idx="26">
                  <c:v>-1.1287346995538308E-2</c:v>
                </c:pt>
                <c:pt idx="27">
                  <c:v>-1.3392912646857238E-2</c:v>
                </c:pt>
                <c:pt idx="28">
                  <c:v>-1.3392912646857238E-2</c:v>
                </c:pt>
                <c:pt idx="29">
                  <c:v>-1.4635386071734625E-2</c:v>
                </c:pt>
                <c:pt idx="30">
                  <c:v>-1.4635386071734625E-2</c:v>
                </c:pt>
                <c:pt idx="31">
                  <c:v>-1.4644870601695521E-2</c:v>
                </c:pt>
                <c:pt idx="32">
                  <c:v>-2.0297650458389591E-2</c:v>
                </c:pt>
                <c:pt idx="33">
                  <c:v>-2.2592906708926445E-2</c:v>
                </c:pt>
                <c:pt idx="34">
                  <c:v>-2.7022182200664914E-2</c:v>
                </c:pt>
                <c:pt idx="35">
                  <c:v>-2.7022182200664914E-2</c:v>
                </c:pt>
                <c:pt idx="36">
                  <c:v>-3.2836199066694216E-2</c:v>
                </c:pt>
                <c:pt idx="37">
                  <c:v>-3.8318257384092155E-2</c:v>
                </c:pt>
                <c:pt idx="38">
                  <c:v>-3.848897892338829E-2</c:v>
                </c:pt>
                <c:pt idx="39">
                  <c:v>-3.9560730808969546E-2</c:v>
                </c:pt>
                <c:pt idx="40">
                  <c:v>-4.0490214745137358E-2</c:v>
                </c:pt>
                <c:pt idx="41">
                  <c:v>-4.628526255124487E-2</c:v>
                </c:pt>
                <c:pt idx="42">
                  <c:v>-4.7451859736435092E-2</c:v>
                </c:pt>
                <c:pt idx="43">
                  <c:v>-4.7537220506083153E-2</c:v>
                </c:pt>
                <c:pt idx="44">
                  <c:v>-4.8277013843033047E-2</c:v>
                </c:pt>
                <c:pt idx="45">
                  <c:v>-4.8504642562094552E-2</c:v>
                </c:pt>
                <c:pt idx="46">
                  <c:v>-4.8571034271820829E-2</c:v>
                </c:pt>
                <c:pt idx="47">
                  <c:v>-4.9813507696698213E-2</c:v>
                </c:pt>
                <c:pt idx="48">
                  <c:v>-4.983247675662001E-2</c:v>
                </c:pt>
                <c:pt idx="49">
                  <c:v>-5.0875775052318578E-2</c:v>
                </c:pt>
                <c:pt idx="50">
                  <c:v>-5.1814743518447288E-2</c:v>
                </c:pt>
                <c:pt idx="51">
                  <c:v>-5.1843197108329978E-2</c:v>
                </c:pt>
                <c:pt idx="52">
                  <c:v>-5.4204845068593105E-2</c:v>
                </c:pt>
                <c:pt idx="53">
                  <c:v>-5.4299690368202064E-2</c:v>
                </c:pt>
                <c:pt idx="54">
                  <c:v>-5.5418864903587807E-2</c:v>
                </c:pt>
                <c:pt idx="55">
                  <c:v>-5.8833295689510401E-2</c:v>
                </c:pt>
                <c:pt idx="56">
                  <c:v>-5.9905047575091658E-2</c:v>
                </c:pt>
                <c:pt idx="57">
                  <c:v>-6.113803647000815E-2</c:v>
                </c:pt>
                <c:pt idx="58">
                  <c:v>-6.4713704265265973E-2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50-485A-BE2C-34BE14DC1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6688"/>
        <c:axId val="1"/>
      </c:scatterChart>
      <c:valAx>
        <c:axId val="718176688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44345564399387"/>
              <c:y val="0.75854113327858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647767130374526E-2"/>
              <c:y val="0.34056937668067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6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795679021135016"/>
          <c:y val="0.81288343558282206"/>
          <c:w val="0.90958484619802271"/>
          <c:h val="0.972392638036809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228600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E00FCD51-FF9B-4293-874C-1E767501E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180975</xdr:colOff>
      <xdr:row>0</xdr:row>
      <xdr:rowOff>28575</xdr:rowOff>
    </xdr:from>
    <xdr:to>
      <xdr:col>23</xdr:col>
      <xdr:colOff>676275</xdr:colOff>
      <xdr:row>18</xdr:row>
      <xdr:rowOff>57150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E2167EA6-643D-09C9-E1BB-F401EB7CB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6" TargetMode="External"/><Relationship Id="rId1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80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A80" sqref="A8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26</v>
      </c>
      <c r="B2" s="11" t="s">
        <v>50</v>
      </c>
    </row>
    <row r="4" spans="1:6" ht="14.25" thickTop="1" thickBot="1" x14ac:dyDescent="0.25">
      <c r="A4" s="6" t="s">
        <v>2</v>
      </c>
      <c r="C4" s="3">
        <v>36631.326000000001</v>
      </c>
      <c r="D4" s="4">
        <v>3.0536498000000001</v>
      </c>
    </row>
    <row r="5" spans="1:6" ht="13.5" thickTop="1" x14ac:dyDescent="0.2">
      <c r="A5" s="16" t="s">
        <v>55</v>
      </c>
      <c r="B5" s="14"/>
      <c r="C5" s="17">
        <v>-9.5</v>
      </c>
      <c r="D5" s="14" t="s">
        <v>56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36631.326000000001</v>
      </c>
    </row>
    <row r="8" spans="1:6" x14ac:dyDescent="0.2">
      <c r="A8" t="s">
        <v>5</v>
      </c>
      <c r="C8">
        <f>+D4</f>
        <v>3.0536498000000001</v>
      </c>
    </row>
    <row r="9" spans="1:6" x14ac:dyDescent="0.2">
      <c r="A9" s="31" t="s">
        <v>61</v>
      </c>
      <c r="B9" s="32">
        <v>70</v>
      </c>
      <c r="C9" s="29" t="str">
        <f>"F"&amp;B9</f>
        <v>F70</v>
      </c>
      <c r="D9" s="30" t="str">
        <f>"G"&amp;B9</f>
        <v>G70</v>
      </c>
    </row>
    <row r="10" spans="1:6" ht="13.5" thickBot="1" x14ac:dyDescent="0.25">
      <c r="A10" s="14"/>
      <c r="B10" s="14"/>
      <c r="C10" s="5" t="s">
        <v>22</v>
      </c>
      <c r="D10" s="5" t="s">
        <v>23</v>
      </c>
      <c r="E10" s="14"/>
    </row>
    <row r="11" spans="1:6" x14ac:dyDescent="0.2">
      <c r="A11" s="14" t="s">
        <v>18</v>
      </c>
      <c r="B11" s="14"/>
      <c r="C11" s="28">
        <f ca="1">INTERCEPT(INDIRECT($D$9):G992,INDIRECT($C$9):F992)</f>
        <v>4.6466633387671208E-3</v>
      </c>
      <c r="D11" s="18"/>
      <c r="E11" s="14"/>
    </row>
    <row r="12" spans="1:6" x14ac:dyDescent="0.2">
      <c r="A12" s="14" t="s">
        <v>19</v>
      </c>
      <c r="B12" s="14"/>
      <c r="C12" s="28">
        <f ca="1">SLOPE(INDIRECT($D$9):G992,INDIRECT($C$9):F992)</f>
        <v>-9.4845299608960878E-6</v>
      </c>
      <c r="D12" s="18"/>
      <c r="E12" s="14"/>
    </row>
    <row r="13" spans="1:6" x14ac:dyDescent="0.2">
      <c r="A13" s="14" t="s">
        <v>21</v>
      </c>
      <c r="B13" s="14"/>
      <c r="C13" s="18" t="s">
        <v>16</v>
      </c>
    </row>
    <row r="14" spans="1:6" x14ac:dyDescent="0.2">
      <c r="A14" s="14"/>
      <c r="B14" s="14"/>
      <c r="C14" s="14"/>
    </row>
    <row r="15" spans="1:6" x14ac:dyDescent="0.2">
      <c r="A15" s="19" t="s">
        <v>20</v>
      </c>
      <c r="B15" s="14"/>
      <c r="C15" s="20">
        <f ca="1">(C7+C11)+(C8+C12)*INT(MAX(F21:F3533))</f>
        <v>58962.602273695731</v>
      </c>
      <c r="E15" s="21" t="s">
        <v>64</v>
      </c>
      <c r="F15" s="17">
        <v>1</v>
      </c>
    </row>
    <row r="16" spans="1:6" x14ac:dyDescent="0.2">
      <c r="A16" s="23" t="s">
        <v>6</v>
      </c>
      <c r="B16" s="14"/>
      <c r="C16" s="24">
        <f ca="1">+C8+C12</f>
        <v>3.0536403154700391</v>
      </c>
      <c r="E16" s="21" t="s">
        <v>57</v>
      </c>
      <c r="F16" s="22">
        <f ca="1">NOW()+15018.5+$C$5/24</f>
        <v>59958.737344791662</v>
      </c>
    </row>
    <row r="17" spans="1:17" ht="13.5" thickBot="1" x14ac:dyDescent="0.25">
      <c r="A17" s="21" t="s">
        <v>54</v>
      </c>
      <c r="B17" s="14"/>
      <c r="C17" s="14">
        <f>COUNT(C21:C2191)</f>
        <v>59</v>
      </c>
      <c r="E17" s="21" t="s">
        <v>65</v>
      </c>
      <c r="F17" s="22">
        <f ca="1">ROUND(2*(F16-$C$7)/$C$8,0)/2+F15</f>
        <v>7640</v>
      </c>
    </row>
    <row r="18" spans="1:17" ht="14.25" thickTop="1" thickBot="1" x14ac:dyDescent="0.25">
      <c r="A18" s="23" t="s">
        <v>7</v>
      </c>
      <c r="B18" s="14"/>
      <c r="C18" s="26">
        <f ca="1">+C15</f>
        <v>58962.602273695731</v>
      </c>
      <c r="D18" s="27">
        <f ca="1">+C16</f>
        <v>3.0536403154700391</v>
      </c>
      <c r="E18" s="21" t="s">
        <v>58</v>
      </c>
      <c r="F18" s="30">
        <f ca="1">ROUND(2*(F16-$C$15)/$C$16,0)/2+F15</f>
        <v>327</v>
      </c>
    </row>
    <row r="19" spans="1:17" ht="13.5" thickTop="1" x14ac:dyDescent="0.2">
      <c r="E19" s="21" t="s">
        <v>59</v>
      </c>
      <c r="F19" s="25">
        <f ca="1">+$C$15+$C$16*F18-15018.5-$C$5/24</f>
        <v>44943.03849018777</v>
      </c>
    </row>
    <row r="20" spans="1:17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75</v>
      </c>
      <c r="I20" s="8" t="s">
        <v>78</v>
      </c>
      <c r="J20" s="8" t="s">
        <v>72</v>
      </c>
      <c r="K20" s="8" t="s">
        <v>70</v>
      </c>
      <c r="L20" s="8" t="s">
        <v>27</v>
      </c>
      <c r="M20" s="8" t="s">
        <v>28</v>
      </c>
      <c r="N20" s="8" t="s">
        <v>47</v>
      </c>
      <c r="O20" s="8" t="s">
        <v>25</v>
      </c>
      <c r="P20" s="7" t="s">
        <v>24</v>
      </c>
      <c r="Q20" s="5" t="s">
        <v>17</v>
      </c>
    </row>
    <row r="21" spans="1:17" x14ac:dyDescent="0.2">
      <c r="A21" t="s">
        <v>86</v>
      </c>
      <c r="B21" s="18" t="s">
        <v>49</v>
      </c>
      <c r="C21" s="13">
        <v>25641.170999999998</v>
      </c>
      <c r="D21" s="13" t="s">
        <v>78</v>
      </c>
      <c r="E21">
        <f t="shared" ref="E21:E52" si="0">+(C21-C$7)/C$8</f>
        <v>-3599.0227170122789</v>
      </c>
      <c r="F21">
        <f t="shared" ref="F21:F52" si="1">ROUND(2*E21,0)/2</f>
        <v>-3599</v>
      </c>
      <c r="G21">
        <f t="shared" ref="G21:G52" si="2">+C21-(C$7+F21*C$8)</f>
        <v>-6.9369799999549286E-2</v>
      </c>
      <c r="I21">
        <f t="shared" ref="I21:I40" si="3">G21</f>
        <v>-6.9369799999549286E-2</v>
      </c>
      <c r="O21">
        <f t="shared" ref="O21:O52" ca="1" si="4">+C$11+C$12*F21</f>
        <v>3.878148666803214E-2</v>
      </c>
      <c r="Q21" s="2">
        <f t="shared" ref="Q21:Q52" si="5">+C21-15018.5</f>
        <v>10622.670999999998</v>
      </c>
    </row>
    <row r="22" spans="1:17" x14ac:dyDescent="0.2">
      <c r="A22" t="s">
        <v>91</v>
      </c>
      <c r="B22" s="18" t="s">
        <v>49</v>
      </c>
      <c r="C22" s="13">
        <v>27366.577000000001</v>
      </c>
      <c r="D22" s="13" t="s">
        <v>78</v>
      </c>
      <c r="E22">
        <f t="shared" si="0"/>
        <v>-3033.9919790409494</v>
      </c>
      <c r="F22">
        <f t="shared" si="1"/>
        <v>-3034</v>
      </c>
      <c r="G22">
        <f t="shared" si="2"/>
        <v>2.4493200002325466E-2</v>
      </c>
      <c r="I22">
        <f t="shared" si="3"/>
        <v>2.4493200002325466E-2</v>
      </c>
      <c r="O22">
        <f t="shared" ca="1" si="4"/>
        <v>3.3422727240125849E-2</v>
      </c>
      <c r="Q22" s="2">
        <f t="shared" si="5"/>
        <v>12348.077000000001</v>
      </c>
    </row>
    <row r="23" spans="1:17" x14ac:dyDescent="0.2">
      <c r="A23" t="s">
        <v>91</v>
      </c>
      <c r="B23" s="18" t="s">
        <v>49</v>
      </c>
      <c r="C23" s="13">
        <v>27369.539000000001</v>
      </c>
      <c r="D23" s="13" t="s">
        <v>78</v>
      </c>
      <c r="E23">
        <f t="shared" si="0"/>
        <v>-3033.0219922402366</v>
      </c>
      <c r="F23">
        <f t="shared" si="1"/>
        <v>-3033</v>
      </c>
      <c r="G23">
        <f t="shared" si="2"/>
        <v>-6.7156599998270394E-2</v>
      </c>
      <c r="I23">
        <f t="shared" si="3"/>
        <v>-6.7156599998270394E-2</v>
      </c>
      <c r="O23">
        <f t="shared" ca="1" si="4"/>
        <v>3.341324271016495E-2</v>
      </c>
      <c r="Q23" s="2">
        <f t="shared" si="5"/>
        <v>12351.039000000001</v>
      </c>
    </row>
    <row r="24" spans="1:17" x14ac:dyDescent="0.2">
      <c r="A24" t="s">
        <v>100</v>
      </c>
      <c r="B24" s="18" t="s">
        <v>49</v>
      </c>
      <c r="C24" s="13">
        <v>27910.129000000001</v>
      </c>
      <c r="D24" s="13" t="s">
        <v>78</v>
      </c>
      <c r="E24">
        <f t="shared" si="0"/>
        <v>-2855.9912141857262</v>
      </c>
      <c r="F24">
        <f t="shared" si="1"/>
        <v>-2856</v>
      </c>
      <c r="G24">
        <f t="shared" si="2"/>
        <v>2.6828800000657793E-2</v>
      </c>
      <c r="I24">
        <f t="shared" si="3"/>
        <v>2.6828800000657793E-2</v>
      </c>
      <c r="O24">
        <f t="shared" ca="1" si="4"/>
        <v>3.1734480907086346E-2</v>
      </c>
      <c r="Q24" s="2">
        <f t="shared" si="5"/>
        <v>12891.629000000001</v>
      </c>
    </row>
    <row r="25" spans="1:17" x14ac:dyDescent="0.2">
      <c r="A25" t="s">
        <v>100</v>
      </c>
      <c r="B25" s="18" t="s">
        <v>49</v>
      </c>
      <c r="C25" s="13">
        <v>27913.184000000001</v>
      </c>
      <c r="D25" s="13" t="s">
        <v>78</v>
      </c>
      <c r="E25">
        <f t="shared" si="0"/>
        <v>-2854.9907720263141</v>
      </c>
      <c r="F25">
        <f t="shared" si="1"/>
        <v>-2855</v>
      </c>
      <c r="G25">
        <f t="shared" si="2"/>
        <v>2.8179000000818633E-2</v>
      </c>
      <c r="I25">
        <f t="shared" si="3"/>
        <v>2.8179000000818633E-2</v>
      </c>
      <c r="O25">
        <f t="shared" ca="1" si="4"/>
        <v>3.1724996377125447E-2</v>
      </c>
      <c r="Q25" s="2">
        <f t="shared" si="5"/>
        <v>12894.684000000001</v>
      </c>
    </row>
    <row r="26" spans="1:17" x14ac:dyDescent="0.2">
      <c r="A26" t="s">
        <v>107</v>
      </c>
      <c r="B26" s="18" t="s">
        <v>49</v>
      </c>
      <c r="C26" s="13">
        <v>27916.213</v>
      </c>
      <c r="D26" s="13" t="s">
        <v>78</v>
      </c>
      <c r="E26">
        <f t="shared" si="0"/>
        <v>-2853.9988442682593</v>
      </c>
      <c r="F26">
        <f t="shared" si="1"/>
        <v>-2854</v>
      </c>
      <c r="G26">
        <f t="shared" si="2"/>
        <v>3.5291999993205536E-3</v>
      </c>
      <c r="I26">
        <f t="shared" si="3"/>
        <v>3.5291999993205536E-3</v>
      </c>
      <c r="O26">
        <f t="shared" ca="1" si="4"/>
        <v>3.1715511847164556E-2</v>
      </c>
      <c r="Q26" s="2">
        <f t="shared" si="5"/>
        <v>12897.713</v>
      </c>
    </row>
    <row r="27" spans="1:17" x14ac:dyDescent="0.2">
      <c r="A27" t="s">
        <v>107</v>
      </c>
      <c r="B27" s="18" t="s">
        <v>49</v>
      </c>
      <c r="C27" s="13">
        <v>28258.228999999999</v>
      </c>
      <c r="D27" s="13" t="s">
        <v>78</v>
      </c>
      <c r="E27">
        <f t="shared" si="0"/>
        <v>-2741.9964790985532</v>
      </c>
      <c r="F27">
        <f t="shared" si="1"/>
        <v>-2742</v>
      </c>
      <c r="G27">
        <f t="shared" si="2"/>
        <v>1.0751599998911843E-2</v>
      </c>
      <c r="I27">
        <f t="shared" si="3"/>
        <v>1.0751599998911843E-2</v>
      </c>
      <c r="O27">
        <f t="shared" ca="1" si="4"/>
        <v>3.0653244491544194E-2</v>
      </c>
      <c r="Q27" s="2">
        <f t="shared" si="5"/>
        <v>13239.728999999999</v>
      </c>
    </row>
    <row r="28" spans="1:17" x14ac:dyDescent="0.2">
      <c r="A28" t="s">
        <v>107</v>
      </c>
      <c r="B28" s="18" t="s">
        <v>49</v>
      </c>
      <c r="C28" s="13">
        <v>28487.261999999999</v>
      </c>
      <c r="D28" s="13" t="s">
        <v>78</v>
      </c>
      <c r="E28">
        <f t="shared" si="0"/>
        <v>-2666.9934450243777</v>
      </c>
      <c r="F28">
        <f t="shared" si="1"/>
        <v>-2667</v>
      </c>
      <c r="G28">
        <f t="shared" si="2"/>
        <v>2.001659999586991E-2</v>
      </c>
      <c r="I28">
        <f t="shared" si="3"/>
        <v>2.001659999586991E-2</v>
      </c>
      <c r="O28">
        <f t="shared" ca="1" si="4"/>
        <v>2.9941904744476985E-2</v>
      </c>
      <c r="Q28" s="2">
        <f t="shared" si="5"/>
        <v>13468.761999999999</v>
      </c>
    </row>
    <row r="29" spans="1:17" x14ac:dyDescent="0.2">
      <c r="A29" t="s">
        <v>118</v>
      </c>
      <c r="B29" s="18" t="s">
        <v>317</v>
      </c>
      <c r="C29" s="13">
        <v>29786.537</v>
      </c>
      <c r="D29" s="13" t="s">
        <v>78</v>
      </c>
      <c r="E29">
        <f t="shared" si="0"/>
        <v>-2241.5107979965483</v>
      </c>
      <c r="F29">
        <f t="shared" si="1"/>
        <v>-2241.5</v>
      </c>
      <c r="G29">
        <f t="shared" si="2"/>
        <v>-3.2973299999866867E-2</v>
      </c>
      <c r="I29">
        <f t="shared" si="3"/>
        <v>-3.2973299999866867E-2</v>
      </c>
      <c r="O29">
        <f t="shared" ca="1" si="4"/>
        <v>2.5906237246115703E-2</v>
      </c>
      <c r="Q29" s="2">
        <f t="shared" si="5"/>
        <v>14768.037</v>
      </c>
    </row>
    <row r="30" spans="1:17" x14ac:dyDescent="0.2">
      <c r="A30" t="s">
        <v>123</v>
      </c>
      <c r="B30" s="18" t="s">
        <v>49</v>
      </c>
      <c r="C30" s="13">
        <v>32985.322999999997</v>
      </c>
      <c r="D30" s="13" t="s">
        <v>78</v>
      </c>
      <c r="E30">
        <f t="shared" si="0"/>
        <v>-1193.9820342201663</v>
      </c>
      <c r="F30">
        <f t="shared" si="1"/>
        <v>-1194</v>
      </c>
      <c r="G30">
        <f t="shared" si="2"/>
        <v>5.4861199998413213E-2</v>
      </c>
      <c r="I30">
        <f t="shared" si="3"/>
        <v>5.4861199998413213E-2</v>
      </c>
      <c r="O30">
        <f t="shared" ca="1" si="4"/>
        <v>1.5971192112077051E-2</v>
      </c>
      <c r="Q30" s="2">
        <f t="shared" si="5"/>
        <v>17966.822999999997</v>
      </c>
    </row>
    <row r="31" spans="1:17" x14ac:dyDescent="0.2">
      <c r="A31" t="s">
        <v>123</v>
      </c>
      <c r="B31" s="18" t="s">
        <v>49</v>
      </c>
      <c r="C31" s="13">
        <v>33385.298999999999</v>
      </c>
      <c r="D31" s="13" t="s">
        <v>78</v>
      </c>
      <c r="E31">
        <f t="shared" si="0"/>
        <v>-1062.9991035645285</v>
      </c>
      <c r="F31">
        <f t="shared" si="1"/>
        <v>-1063</v>
      </c>
      <c r="G31">
        <f t="shared" si="2"/>
        <v>2.7373999982955866E-3</v>
      </c>
      <c r="I31">
        <f t="shared" si="3"/>
        <v>2.7373999982955866E-3</v>
      </c>
      <c r="O31">
        <f t="shared" ca="1" si="4"/>
        <v>1.4728718687199662E-2</v>
      </c>
      <c r="Q31" s="2">
        <f t="shared" si="5"/>
        <v>18366.798999999999</v>
      </c>
    </row>
    <row r="32" spans="1:17" x14ac:dyDescent="0.2">
      <c r="A32" t="s">
        <v>130</v>
      </c>
      <c r="B32" s="18" t="s">
        <v>49</v>
      </c>
      <c r="C32" s="13">
        <v>33568.544999999998</v>
      </c>
      <c r="D32" s="13" t="s">
        <v>78</v>
      </c>
      <c r="E32">
        <f t="shared" si="0"/>
        <v>-1002.9902577564732</v>
      </c>
      <c r="F32">
        <f t="shared" si="1"/>
        <v>-1003</v>
      </c>
      <c r="G32">
        <f t="shared" si="2"/>
        <v>2.9749399996944703E-2</v>
      </c>
      <c r="I32">
        <f t="shared" si="3"/>
        <v>2.9749399996944703E-2</v>
      </c>
      <c r="O32">
        <f t="shared" ca="1" si="4"/>
        <v>1.4159646889545897E-2</v>
      </c>
      <c r="Q32" s="2">
        <f t="shared" si="5"/>
        <v>18550.044999999998</v>
      </c>
    </row>
    <row r="33" spans="1:32" x14ac:dyDescent="0.2">
      <c r="A33" t="s">
        <v>134</v>
      </c>
      <c r="B33" s="18" t="s">
        <v>49</v>
      </c>
      <c r="C33" s="13">
        <v>34698.381000000001</v>
      </c>
      <c r="D33" s="13" t="s">
        <v>78</v>
      </c>
      <c r="E33">
        <f t="shared" si="0"/>
        <v>-632.9949819393172</v>
      </c>
      <c r="F33">
        <f t="shared" si="1"/>
        <v>-633</v>
      </c>
      <c r="G33">
        <f t="shared" si="2"/>
        <v>1.5323400002671406E-2</v>
      </c>
      <c r="I33">
        <f t="shared" si="3"/>
        <v>1.5323400002671406E-2</v>
      </c>
      <c r="O33">
        <f t="shared" ca="1" si="4"/>
        <v>1.0650370804014344E-2</v>
      </c>
      <c r="Q33" s="2">
        <f t="shared" si="5"/>
        <v>19679.881000000001</v>
      </c>
    </row>
    <row r="34" spans="1:32" x14ac:dyDescent="0.2">
      <c r="A34" t="s">
        <v>139</v>
      </c>
      <c r="B34" s="18" t="s">
        <v>49</v>
      </c>
      <c r="C34" s="13">
        <v>35165.572999999997</v>
      </c>
      <c r="D34" s="13" t="s">
        <v>78</v>
      </c>
      <c r="E34">
        <f t="shared" si="0"/>
        <v>-480.00035891476625</v>
      </c>
      <c r="F34">
        <f t="shared" si="1"/>
        <v>-480</v>
      </c>
      <c r="G34">
        <f t="shared" si="2"/>
        <v>-1.0960000072373077E-3</v>
      </c>
      <c r="I34">
        <f t="shared" si="3"/>
        <v>-1.0960000072373077E-3</v>
      </c>
      <c r="O34">
        <f t="shared" ca="1" si="4"/>
        <v>9.1992377199972431E-3</v>
      </c>
      <c r="Q34" s="2">
        <f t="shared" si="5"/>
        <v>20147.072999999997</v>
      </c>
    </row>
    <row r="35" spans="1:32" x14ac:dyDescent="0.2">
      <c r="A35" t="s">
        <v>139</v>
      </c>
      <c r="B35" s="18" t="s">
        <v>49</v>
      </c>
      <c r="C35" s="13">
        <v>35510.637999999999</v>
      </c>
      <c r="D35" s="13" t="s">
        <v>78</v>
      </c>
      <c r="E35">
        <f t="shared" si="0"/>
        <v>-366.99951644749893</v>
      </c>
      <c r="F35">
        <f t="shared" si="1"/>
        <v>-367</v>
      </c>
      <c r="G35">
        <f t="shared" si="2"/>
        <v>1.4765999949304387E-3</v>
      </c>
      <c r="I35">
        <f t="shared" si="3"/>
        <v>1.4765999949304387E-3</v>
      </c>
      <c r="O35">
        <f t="shared" ca="1" si="4"/>
        <v>8.1274858344159845E-3</v>
      </c>
      <c r="Q35" s="2">
        <f t="shared" si="5"/>
        <v>20492.137999999999</v>
      </c>
    </row>
    <row r="36" spans="1:32" x14ac:dyDescent="0.2">
      <c r="A36" t="s">
        <v>139</v>
      </c>
      <c r="B36" s="18" t="s">
        <v>49</v>
      </c>
      <c r="C36" s="13">
        <v>35571.703999999998</v>
      </c>
      <c r="D36" s="13" t="s">
        <v>78</v>
      </c>
      <c r="E36">
        <f t="shared" si="0"/>
        <v>-347.00180747641821</v>
      </c>
      <c r="F36">
        <f t="shared" si="1"/>
        <v>-347</v>
      </c>
      <c r="G36">
        <f t="shared" si="2"/>
        <v>-5.5194000015035272E-3</v>
      </c>
      <c r="I36">
        <f t="shared" si="3"/>
        <v>-5.5194000015035272E-3</v>
      </c>
      <c r="O36">
        <f t="shared" ca="1" si="4"/>
        <v>7.9377952351980634E-3</v>
      </c>
      <c r="Q36" s="2">
        <f t="shared" si="5"/>
        <v>20553.203999999998</v>
      </c>
    </row>
    <row r="37" spans="1:32" x14ac:dyDescent="0.2">
      <c r="A37" t="s">
        <v>149</v>
      </c>
      <c r="B37" s="18" t="s">
        <v>49</v>
      </c>
      <c r="C37" s="13">
        <v>35892.341999999997</v>
      </c>
      <c r="D37" s="13" t="s">
        <v>78</v>
      </c>
      <c r="E37">
        <f t="shared" si="0"/>
        <v>-242.00024508376958</v>
      </c>
      <c r="F37">
        <f t="shared" si="1"/>
        <v>-242</v>
      </c>
      <c r="G37">
        <f t="shared" si="2"/>
        <v>-7.4840000161202624E-4</v>
      </c>
      <c r="I37">
        <f t="shared" si="3"/>
        <v>-7.4840000161202624E-4</v>
      </c>
      <c r="O37">
        <f t="shared" ca="1" si="4"/>
        <v>6.9419195893039741E-3</v>
      </c>
      <c r="Q37" s="2">
        <f t="shared" si="5"/>
        <v>20873.841999999997</v>
      </c>
    </row>
    <row r="38" spans="1:32" x14ac:dyDescent="0.2">
      <c r="A38" t="s">
        <v>153</v>
      </c>
      <c r="B38" s="18" t="s">
        <v>49</v>
      </c>
      <c r="C38" s="13">
        <v>36130.557999999997</v>
      </c>
      <c r="D38" s="13" t="s">
        <v>78</v>
      </c>
      <c r="E38">
        <f t="shared" si="0"/>
        <v>-163.9899899458031</v>
      </c>
      <c r="F38">
        <f t="shared" si="1"/>
        <v>-164</v>
      </c>
      <c r="G38">
        <f t="shared" si="2"/>
        <v>3.0567199995857663E-2</v>
      </c>
      <c r="I38">
        <f t="shared" si="3"/>
        <v>3.0567199995857663E-2</v>
      </c>
      <c r="O38">
        <f t="shared" ca="1" si="4"/>
        <v>6.2021262523540791E-3</v>
      </c>
      <c r="Q38" s="2">
        <f t="shared" si="5"/>
        <v>21112.057999999997</v>
      </c>
    </row>
    <row r="39" spans="1:32" x14ac:dyDescent="0.2">
      <c r="A39" t="s">
        <v>139</v>
      </c>
      <c r="B39" s="18" t="s">
        <v>49</v>
      </c>
      <c r="C39" s="13">
        <v>36194.663999999997</v>
      </c>
      <c r="D39" s="13" t="s">
        <v>78</v>
      </c>
      <c r="E39">
        <f t="shared" si="0"/>
        <v>-142.99675096993894</v>
      </c>
      <c r="F39">
        <f t="shared" si="1"/>
        <v>-143</v>
      </c>
      <c r="G39">
        <f t="shared" si="2"/>
        <v>9.921399992890656E-3</v>
      </c>
      <c r="I39">
        <f t="shared" si="3"/>
        <v>9.921399992890656E-3</v>
      </c>
      <c r="O39">
        <f t="shared" ca="1" si="4"/>
        <v>6.0029511231752611E-3</v>
      </c>
      <c r="Q39" s="2">
        <f t="shared" si="5"/>
        <v>21176.163999999997</v>
      </c>
    </row>
    <row r="40" spans="1:32" x14ac:dyDescent="0.2">
      <c r="A40" t="s">
        <v>139</v>
      </c>
      <c r="B40" s="18" t="s">
        <v>49</v>
      </c>
      <c r="C40" s="13">
        <v>36249.608</v>
      </c>
      <c r="D40" s="13" t="s">
        <v>78</v>
      </c>
      <c r="E40">
        <f t="shared" si="0"/>
        <v>-125.0038560413839</v>
      </c>
      <c r="F40">
        <f t="shared" si="1"/>
        <v>-125</v>
      </c>
      <c r="G40">
        <f t="shared" si="2"/>
        <v>-1.1774999999033753E-2</v>
      </c>
      <c r="I40">
        <f t="shared" si="3"/>
        <v>-1.1774999999033753E-2</v>
      </c>
      <c r="O40">
        <f t="shared" ca="1" si="4"/>
        <v>5.8322295838791321E-3</v>
      </c>
      <c r="Q40" s="2">
        <f t="shared" si="5"/>
        <v>21231.108</v>
      </c>
    </row>
    <row r="41" spans="1:32" x14ac:dyDescent="0.2">
      <c r="A41" t="s">
        <v>14</v>
      </c>
      <c r="C41" s="13">
        <v>36631.326000000001</v>
      </c>
      <c r="D41" s="13" t="s">
        <v>16</v>
      </c>
      <c r="E41">
        <f t="shared" si="0"/>
        <v>0</v>
      </c>
      <c r="F41">
        <f t="shared" si="1"/>
        <v>0</v>
      </c>
      <c r="G41">
        <f t="shared" si="2"/>
        <v>0</v>
      </c>
      <c r="H41">
        <f>+G41</f>
        <v>0</v>
      </c>
      <c r="O41">
        <f t="shared" ca="1" si="4"/>
        <v>4.6466633387671208E-3</v>
      </c>
      <c r="Q41" s="2">
        <f t="shared" si="5"/>
        <v>21612.826000000001</v>
      </c>
    </row>
    <row r="42" spans="1:32" x14ac:dyDescent="0.2">
      <c r="A42" t="s">
        <v>149</v>
      </c>
      <c r="B42" s="18" t="s">
        <v>49</v>
      </c>
      <c r="C42" s="13">
        <v>36982.453999999998</v>
      </c>
      <c r="D42" s="13" t="s">
        <v>78</v>
      </c>
      <c r="E42">
        <f t="shared" si="0"/>
        <v>114.98633536825243</v>
      </c>
      <c r="F42">
        <f t="shared" si="1"/>
        <v>115</v>
      </c>
      <c r="G42">
        <f t="shared" si="2"/>
        <v>-4.1727000003447756E-2</v>
      </c>
      <c r="I42">
        <f t="shared" ref="I42:I59" si="6">G42</f>
        <v>-4.1727000003447756E-2</v>
      </c>
      <c r="O42">
        <f t="shared" ca="1" si="4"/>
        <v>3.5559423932640709E-3</v>
      </c>
      <c r="Q42" s="2">
        <f t="shared" si="5"/>
        <v>21963.953999999998</v>
      </c>
    </row>
    <row r="43" spans="1:32" x14ac:dyDescent="0.2">
      <c r="A43" t="s">
        <v>171</v>
      </c>
      <c r="B43" s="18" t="s">
        <v>49</v>
      </c>
      <c r="C43" s="13">
        <v>37367.302000000003</v>
      </c>
      <c r="D43" s="13" t="s">
        <v>78</v>
      </c>
      <c r="E43">
        <f t="shared" si="0"/>
        <v>241.01519434219418</v>
      </c>
      <c r="F43">
        <f t="shared" si="1"/>
        <v>241</v>
      </c>
      <c r="G43">
        <f t="shared" si="2"/>
        <v>4.6398200000112411E-2</v>
      </c>
      <c r="I43">
        <f t="shared" si="6"/>
        <v>4.6398200000112411E-2</v>
      </c>
      <c r="O43">
        <f t="shared" ca="1" si="4"/>
        <v>2.3608916181911636E-3</v>
      </c>
      <c r="Q43" s="2">
        <f t="shared" si="5"/>
        <v>22348.802000000003</v>
      </c>
    </row>
    <row r="44" spans="1:32" x14ac:dyDescent="0.2">
      <c r="A44" t="s">
        <v>171</v>
      </c>
      <c r="B44" s="18" t="s">
        <v>49</v>
      </c>
      <c r="C44" s="13">
        <v>38002.406000000003</v>
      </c>
      <c r="D44" s="13" t="s">
        <v>78</v>
      </c>
      <c r="E44">
        <f t="shared" si="0"/>
        <v>448.99713123620188</v>
      </c>
      <c r="F44">
        <f t="shared" si="1"/>
        <v>449</v>
      </c>
      <c r="G44">
        <f t="shared" si="2"/>
        <v>-8.7601999985054135E-3</v>
      </c>
      <c r="I44">
        <f t="shared" si="6"/>
        <v>-8.7601999985054135E-3</v>
      </c>
      <c r="O44">
        <f t="shared" ca="1" si="4"/>
        <v>3.8810938632477705E-4</v>
      </c>
      <c r="Q44" s="2">
        <f t="shared" si="5"/>
        <v>22983.906000000003</v>
      </c>
    </row>
    <row r="45" spans="1:32" x14ac:dyDescent="0.2">
      <c r="A45" t="s">
        <v>171</v>
      </c>
      <c r="B45" s="18" t="s">
        <v>49</v>
      </c>
      <c r="C45" s="13">
        <v>38399.375</v>
      </c>
      <c r="D45" s="13" t="s">
        <v>78</v>
      </c>
      <c r="E45">
        <f t="shared" si="0"/>
        <v>578.99533862723843</v>
      </c>
      <c r="F45">
        <f t="shared" si="1"/>
        <v>579</v>
      </c>
      <c r="G45">
        <f t="shared" si="2"/>
        <v>-1.4234200003556907E-2</v>
      </c>
      <c r="I45">
        <f t="shared" si="6"/>
        <v>-1.4234200003556907E-2</v>
      </c>
      <c r="O45">
        <f t="shared" ca="1" si="4"/>
        <v>-8.4487950859171365E-4</v>
      </c>
      <c r="Q45" s="2">
        <f t="shared" si="5"/>
        <v>23380.875</v>
      </c>
    </row>
    <row r="46" spans="1:32" x14ac:dyDescent="0.2">
      <c r="A46" t="s">
        <v>171</v>
      </c>
      <c r="B46" s="18" t="s">
        <v>49</v>
      </c>
      <c r="C46" s="13">
        <v>39535.347000000002</v>
      </c>
      <c r="D46" s="13" t="s">
        <v>78</v>
      </c>
      <c r="E46">
        <f t="shared" si="0"/>
        <v>951.00001316457463</v>
      </c>
      <c r="F46">
        <f t="shared" si="1"/>
        <v>951</v>
      </c>
      <c r="G46">
        <f t="shared" si="2"/>
        <v>4.0200000512413681E-5</v>
      </c>
      <c r="I46">
        <f t="shared" si="6"/>
        <v>4.0200000512413681E-5</v>
      </c>
      <c r="O46">
        <f t="shared" ca="1" si="4"/>
        <v>-4.3731246540450585E-3</v>
      </c>
      <c r="Q46" s="2">
        <f t="shared" si="5"/>
        <v>24516.847000000002</v>
      </c>
    </row>
    <row r="47" spans="1:32" x14ac:dyDescent="0.2">
      <c r="A47" t="s">
        <v>30</v>
      </c>
      <c r="C47" s="13">
        <v>41761.447999999997</v>
      </c>
      <c r="D47" s="13"/>
      <c r="E47">
        <f t="shared" si="0"/>
        <v>1679.9968352625096</v>
      </c>
      <c r="F47">
        <f t="shared" si="1"/>
        <v>1680</v>
      </c>
      <c r="G47">
        <f t="shared" si="2"/>
        <v>-9.664000004704576E-3</v>
      </c>
      <c r="I47">
        <f t="shared" si="6"/>
        <v>-9.664000004704576E-3</v>
      </c>
      <c r="O47">
        <f t="shared" ca="1" si="4"/>
        <v>-1.1287346995538308E-2</v>
      </c>
      <c r="Q47" s="2">
        <f t="shared" si="5"/>
        <v>26742.947999999997</v>
      </c>
      <c r="AB47">
        <v>7</v>
      </c>
      <c r="AD47" t="s">
        <v>29</v>
      </c>
      <c r="AF47" t="s">
        <v>31</v>
      </c>
    </row>
    <row r="48" spans="1:32" x14ac:dyDescent="0.2">
      <c r="A48" t="s">
        <v>33</v>
      </c>
      <c r="C48" s="13">
        <v>42439.360000000001</v>
      </c>
      <c r="D48" s="13"/>
      <c r="E48">
        <f t="shared" si="0"/>
        <v>1901.9974065133465</v>
      </c>
      <c r="F48">
        <f t="shared" si="1"/>
        <v>1902</v>
      </c>
      <c r="G48">
        <f t="shared" si="2"/>
        <v>-7.9196000006049871E-3</v>
      </c>
      <c r="I48">
        <f t="shared" si="6"/>
        <v>-7.9196000006049871E-3</v>
      </c>
      <c r="O48">
        <f t="shared" ca="1" si="4"/>
        <v>-1.3392912646857238E-2</v>
      </c>
      <c r="Q48" s="2">
        <f t="shared" si="5"/>
        <v>27420.86</v>
      </c>
      <c r="AB48">
        <v>5</v>
      </c>
      <c r="AD48" t="s">
        <v>32</v>
      </c>
      <c r="AF48" t="s">
        <v>31</v>
      </c>
    </row>
    <row r="49" spans="1:32" x14ac:dyDescent="0.2">
      <c r="A49" t="s">
        <v>33</v>
      </c>
      <c r="C49" s="13">
        <v>42439.364000000001</v>
      </c>
      <c r="D49" s="13"/>
      <c r="E49">
        <f t="shared" si="0"/>
        <v>1901.998716421248</v>
      </c>
      <c r="F49">
        <f t="shared" si="1"/>
        <v>1902</v>
      </c>
      <c r="G49">
        <f t="shared" si="2"/>
        <v>-3.9195999997900799E-3</v>
      </c>
      <c r="I49">
        <f t="shared" si="6"/>
        <v>-3.9195999997900799E-3</v>
      </c>
      <c r="O49">
        <f t="shared" ca="1" si="4"/>
        <v>-1.3392912646857238E-2</v>
      </c>
      <c r="Q49" s="2">
        <f t="shared" si="5"/>
        <v>27420.864000000001</v>
      </c>
      <c r="AA49" t="s">
        <v>34</v>
      </c>
      <c r="AB49">
        <v>6</v>
      </c>
      <c r="AD49" t="s">
        <v>29</v>
      </c>
      <c r="AF49" t="s">
        <v>31</v>
      </c>
    </row>
    <row r="50" spans="1:32" x14ac:dyDescent="0.2">
      <c r="A50" t="s">
        <v>171</v>
      </c>
      <c r="B50" s="18" t="s">
        <v>49</v>
      </c>
      <c r="C50" s="13">
        <v>42839.362999999998</v>
      </c>
      <c r="D50" s="13" t="s">
        <v>78</v>
      </c>
      <c r="E50">
        <f t="shared" si="0"/>
        <v>2032.9891790473146</v>
      </c>
      <c r="F50">
        <f t="shared" si="1"/>
        <v>2033</v>
      </c>
      <c r="G50">
        <f t="shared" si="2"/>
        <v>-3.3043400006135926E-2</v>
      </c>
      <c r="I50">
        <f t="shared" si="6"/>
        <v>-3.3043400006135926E-2</v>
      </c>
      <c r="O50">
        <f t="shared" ca="1" si="4"/>
        <v>-1.4635386071734625E-2</v>
      </c>
      <c r="Q50" s="2">
        <f t="shared" si="5"/>
        <v>27820.862999999998</v>
      </c>
    </row>
    <row r="51" spans="1:32" x14ac:dyDescent="0.2">
      <c r="A51" t="s">
        <v>36</v>
      </c>
      <c r="C51" s="13">
        <v>42839.4</v>
      </c>
      <c r="D51" s="13"/>
      <c r="E51">
        <f t="shared" si="0"/>
        <v>2033.0012956954004</v>
      </c>
      <c r="F51">
        <f t="shared" si="1"/>
        <v>2033</v>
      </c>
      <c r="G51">
        <f t="shared" si="2"/>
        <v>3.9565999977639876E-3</v>
      </c>
      <c r="I51">
        <f t="shared" si="6"/>
        <v>3.9565999977639876E-3</v>
      </c>
      <c r="O51">
        <f t="shared" ca="1" si="4"/>
        <v>-1.4635386071734625E-2</v>
      </c>
      <c r="Q51" s="2">
        <f t="shared" si="5"/>
        <v>27820.9</v>
      </c>
      <c r="AA51" t="s">
        <v>34</v>
      </c>
      <c r="AB51">
        <v>13</v>
      </c>
      <c r="AD51" t="s">
        <v>35</v>
      </c>
      <c r="AF51" t="s">
        <v>31</v>
      </c>
    </row>
    <row r="52" spans="1:32" x14ac:dyDescent="0.2">
      <c r="A52" t="s">
        <v>36</v>
      </c>
      <c r="C52" s="13">
        <v>42842.436000000002</v>
      </c>
      <c r="D52" s="13"/>
      <c r="E52">
        <f t="shared" si="0"/>
        <v>2033.9955157922825</v>
      </c>
      <c r="F52">
        <f t="shared" si="1"/>
        <v>2034</v>
      </c>
      <c r="G52">
        <f t="shared" si="2"/>
        <v>-1.3693200002308004E-2</v>
      </c>
      <c r="I52">
        <f t="shared" si="6"/>
        <v>-1.3693200002308004E-2</v>
      </c>
      <c r="O52">
        <f t="shared" ca="1" si="4"/>
        <v>-1.4644870601695521E-2</v>
      </c>
      <c r="Q52" s="2">
        <f t="shared" si="5"/>
        <v>27823.936000000002</v>
      </c>
      <c r="AA52" t="s">
        <v>34</v>
      </c>
      <c r="AB52">
        <v>12</v>
      </c>
      <c r="AD52" t="s">
        <v>35</v>
      </c>
      <c r="AF52" t="s">
        <v>31</v>
      </c>
    </row>
    <row r="53" spans="1:32" x14ac:dyDescent="0.2">
      <c r="A53" t="s">
        <v>37</v>
      </c>
      <c r="C53" s="13">
        <v>44662.421999999999</v>
      </c>
      <c r="D53" s="13"/>
      <c r="E53">
        <f t="shared" ref="E53:E76" si="7">+(C53-C$7)/C$8</f>
        <v>2629.9990260834747</v>
      </c>
      <c r="F53">
        <f t="shared" ref="F53:F78" si="8">ROUND(2*E53,0)/2</f>
        <v>2630</v>
      </c>
      <c r="G53">
        <f t="shared" ref="G53:G76" si="9">+C53-(C$7+F53*C$8)</f>
        <v>-2.9740000027231872E-3</v>
      </c>
      <c r="I53">
        <f t="shared" si="6"/>
        <v>-2.9740000027231872E-3</v>
      </c>
      <c r="O53">
        <f t="shared" ref="O53:O76" ca="1" si="10">+C$11+C$12*F53</f>
        <v>-2.0297650458389591E-2</v>
      </c>
      <c r="Q53" s="2">
        <f t="shared" ref="Q53:Q76" si="11">+C53-15018.5</f>
        <v>29643.921999999999</v>
      </c>
      <c r="AA53" t="s">
        <v>34</v>
      </c>
      <c r="AB53">
        <v>8</v>
      </c>
      <c r="AD53" t="s">
        <v>35</v>
      </c>
      <c r="AF53" t="s">
        <v>31</v>
      </c>
    </row>
    <row r="54" spans="1:32" x14ac:dyDescent="0.2">
      <c r="A54" t="s">
        <v>38</v>
      </c>
      <c r="C54" s="13">
        <v>45401.41</v>
      </c>
      <c r="D54" s="13"/>
      <c r="E54">
        <f t="shared" si="7"/>
        <v>2872.0005810751459</v>
      </c>
      <c r="F54">
        <f t="shared" si="8"/>
        <v>2872</v>
      </c>
      <c r="G54">
        <f t="shared" si="9"/>
        <v>1.7743999997037463E-3</v>
      </c>
      <c r="I54">
        <f t="shared" si="6"/>
        <v>1.7743999997037463E-3</v>
      </c>
      <c r="O54">
        <f t="shared" ca="1" si="10"/>
        <v>-2.2592906708926445E-2</v>
      </c>
      <c r="Q54" s="2">
        <f t="shared" si="11"/>
        <v>30382.910000000003</v>
      </c>
      <c r="AA54" t="s">
        <v>34</v>
      </c>
      <c r="AB54">
        <v>10</v>
      </c>
      <c r="AD54" t="s">
        <v>35</v>
      </c>
      <c r="AF54" t="s">
        <v>31</v>
      </c>
    </row>
    <row r="55" spans="1:32" x14ac:dyDescent="0.2">
      <c r="A55" t="s">
        <v>39</v>
      </c>
      <c r="C55" s="13">
        <v>46827.464</v>
      </c>
      <c r="D55" s="13"/>
      <c r="E55">
        <f t="shared" si="7"/>
        <v>3339.0004315491574</v>
      </c>
      <c r="F55">
        <f t="shared" si="8"/>
        <v>3339</v>
      </c>
      <c r="G55">
        <f t="shared" si="9"/>
        <v>1.3178000008338131E-3</v>
      </c>
      <c r="I55">
        <f t="shared" si="6"/>
        <v>1.3178000008338131E-3</v>
      </c>
      <c r="O55">
        <f t="shared" ca="1" si="10"/>
        <v>-2.7022182200664914E-2</v>
      </c>
      <c r="Q55" s="2">
        <f t="shared" si="11"/>
        <v>31808.964</v>
      </c>
      <c r="AA55" t="s">
        <v>34</v>
      </c>
      <c r="AF55" t="s">
        <v>40</v>
      </c>
    </row>
    <row r="56" spans="1:32" x14ac:dyDescent="0.2">
      <c r="A56" t="s">
        <v>39</v>
      </c>
      <c r="C56" s="13">
        <v>46827.47</v>
      </c>
      <c r="D56" s="13"/>
      <c r="E56">
        <f t="shared" si="7"/>
        <v>3339.0023964110096</v>
      </c>
      <c r="F56">
        <f t="shared" si="8"/>
        <v>3339</v>
      </c>
      <c r="G56">
        <f t="shared" si="9"/>
        <v>7.317800002056174E-3</v>
      </c>
      <c r="I56">
        <f t="shared" si="6"/>
        <v>7.317800002056174E-3</v>
      </c>
      <c r="O56">
        <f t="shared" ca="1" si="10"/>
        <v>-2.7022182200664914E-2</v>
      </c>
      <c r="Q56" s="2">
        <f t="shared" si="11"/>
        <v>31808.97</v>
      </c>
      <c r="AA56" t="s">
        <v>34</v>
      </c>
      <c r="AF56" t="s">
        <v>40</v>
      </c>
    </row>
    <row r="57" spans="1:32" x14ac:dyDescent="0.2">
      <c r="A57" t="s">
        <v>41</v>
      </c>
      <c r="C57" s="13">
        <v>48699.332000000002</v>
      </c>
      <c r="D57" s="13">
        <v>6.0000000000000001E-3</v>
      </c>
      <c r="E57">
        <f t="shared" si="7"/>
        <v>3951.9941022706666</v>
      </c>
      <c r="F57">
        <f t="shared" si="8"/>
        <v>3952</v>
      </c>
      <c r="G57">
        <f t="shared" si="9"/>
        <v>-1.8009599996730685E-2</v>
      </c>
      <c r="I57">
        <f t="shared" si="6"/>
        <v>-1.8009599996730685E-2</v>
      </c>
      <c r="O57">
        <f t="shared" ca="1" si="10"/>
        <v>-3.2836199066694216E-2</v>
      </c>
      <c r="Q57" s="2">
        <f t="shared" si="11"/>
        <v>33680.832000000002</v>
      </c>
      <c r="AA57" t="s">
        <v>34</v>
      </c>
      <c r="AB57">
        <v>8</v>
      </c>
      <c r="AD57" t="s">
        <v>35</v>
      </c>
      <c r="AF57" t="s">
        <v>31</v>
      </c>
    </row>
    <row r="58" spans="1:32" x14ac:dyDescent="0.2">
      <c r="A58" t="s">
        <v>43</v>
      </c>
      <c r="C58" s="13">
        <v>50464.33</v>
      </c>
      <c r="D58" s="13">
        <v>2E-3</v>
      </c>
      <c r="E58">
        <f t="shared" si="7"/>
        <v>4529.9903086463946</v>
      </c>
      <c r="F58">
        <f t="shared" si="8"/>
        <v>4530</v>
      </c>
      <c r="G58">
        <f t="shared" si="9"/>
        <v>-2.9593999999633525E-2</v>
      </c>
      <c r="I58">
        <f t="shared" si="6"/>
        <v>-2.9593999999633525E-2</v>
      </c>
      <c r="O58">
        <f t="shared" ca="1" si="10"/>
        <v>-3.8318257384092155E-2</v>
      </c>
      <c r="Q58" s="2">
        <f t="shared" si="11"/>
        <v>35445.83</v>
      </c>
      <c r="AA58" t="s">
        <v>34</v>
      </c>
      <c r="AB58">
        <v>7</v>
      </c>
      <c r="AD58" t="s">
        <v>42</v>
      </c>
      <c r="AF58" t="s">
        <v>31</v>
      </c>
    </row>
    <row r="59" spans="1:32" x14ac:dyDescent="0.2">
      <c r="A59" t="s">
        <v>43</v>
      </c>
      <c r="C59" s="13">
        <v>50519.305</v>
      </c>
      <c r="D59" s="13">
        <v>5.0000000000000001E-3</v>
      </c>
      <c r="E59">
        <f t="shared" si="7"/>
        <v>4547.9933553611809</v>
      </c>
      <c r="F59">
        <f t="shared" si="8"/>
        <v>4548</v>
      </c>
      <c r="G59">
        <f t="shared" si="9"/>
        <v>-2.0290400003432296E-2</v>
      </c>
      <c r="I59">
        <f t="shared" si="6"/>
        <v>-2.0290400003432296E-2</v>
      </c>
      <c r="O59">
        <f t="shared" ca="1" si="10"/>
        <v>-3.848897892338829E-2</v>
      </c>
      <c r="Q59" s="2">
        <f t="shared" si="11"/>
        <v>35500.805</v>
      </c>
      <c r="AA59" t="s">
        <v>34</v>
      </c>
      <c r="AB59">
        <v>7</v>
      </c>
      <c r="AD59" t="s">
        <v>35</v>
      </c>
      <c r="AF59" t="s">
        <v>31</v>
      </c>
    </row>
    <row r="60" spans="1:32" x14ac:dyDescent="0.2">
      <c r="A60" t="s">
        <v>232</v>
      </c>
      <c r="B60" s="18" t="s">
        <v>49</v>
      </c>
      <c r="C60" s="13">
        <v>50864.345200000003</v>
      </c>
      <c r="D60" s="13" t="s">
        <v>78</v>
      </c>
      <c r="E60">
        <f t="shared" si="7"/>
        <v>4660.986076399462</v>
      </c>
      <c r="F60">
        <f t="shared" si="8"/>
        <v>4661</v>
      </c>
      <c r="G60">
        <f t="shared" si="9"/>
        <v>-4.2517800000496209E-2</v>
      </c>
      <c r="J60">
        <f>G60</f>
        <v>-4.2517800000496209E-2</v>
      </c>
      <c r="O60">
        <f t="shared" ca="1" si="10"/>
        <v>-3.9560730808969546E-2</v>
      </c>
      <c r="Q60" s="2">
        <f t="shared" si="11"/>
        <v>35845.845200000003</v>
      </c>
    </row>
    <row r="61" spans="1:32" x14ac:dyDescent="0.2">
      <c r="A61" t="s">
        <v>46</v>
      </c>
      <c r="C61" s="13">
        <v>51163.595999999998</v>
      </c>
      <c r="D61" s="13">
        <v>5.0000000000000001E-3</v>
      </c>
      <c r="E61">
        <f t="shared" si="7"/>
        <v>4758.9838232268794</v>
      </c>
      <c r="F61">
        <f t="shared" si="8"/>
        <v>4759</v>
      </c>
      <c r="G61">
        <f t="shared" si="9"/>
        <v>-4.939820000436157E-2</v>
      </c>
      <c r="I61">
        <f>G61</f>
        <v>-4.939820000436157E-2</v>
      </c>
      <c r="O61">
        <f t="shared" ca="1" si="10"/>
        <v>-4.0490214745137358E-2</v>
      </c>
      <c r="Q61" s="2">
        <f t="shared" si="11"/>
        <v>36145.095999999998</v>
      </c>
      <c r="AA61" t="s">
        <v>44</v>
      </c>
      <c r="AB61">
        <v>67</v>
      </c>
      <c r="AD61" t="s">
        <v>45</v>
      </c>
      <c r="AF61" t="s">
        <v>40</v>
      </c>
    </row>
    <row r="62" spans="1:32" x14ac:dyDescent="0.2">
      <c r="A62" s="9" t="s">
        <v>48</v>
      </c>
      <c r="B62" s="10" t="s">
        <v>49</v>
      </c>
      <c r="C62" s="15">
        <v>53029.376400000001</v>
      </c>
      <c r="D62" s="15">
        <v>6.1999999999999998E-3</v>
      </c>
      <c r="E62">
        <f t="shared" si="7"/>
        <v>5369.9839451138105</v>
      </c>
      <c r="F62">
        <f t="shared" si="8"/>
        <v>5370</v>
      </c>
      <c r="G62">
        <f t="shared" si="9"/>
        <v>-4.9026000000594649E-2</v>
      </c>
      <c r="K62">
        <f>G62</f>
        <v>-4.9026000000594649E-2</v>
      </c>
      <c r="O62">
        <f t="shared" ca="1" si="10"/>
        <v>-4.628526255124487E-2</v>
      </c>
      <c r="Q62" s="2">
        <f t="shared" si="11"/>
        <v>38010.876400000001</v>
      </c>
    </row>
    <row r="63" spans="1:32" x14ac:dyDescent="0.2">
      <c r="A63" t="s">
        <v>249</v>
      </c>
      <c r="B63" s="18" t="s">
        <v>49</v>
      </c>
      <c r="C63" s="13">
        <v>53404.963000000003</v>
      </c>
      <c r="D63" s="13" t="s">
        <v>78</v>
      </c>
      <c r="E63">
        <f t="shared" si="7"/>
        <v>5492.9799088291011</v>
      </c>
      <c r="F63">
        <f t="shared" si="8"/>
        <v>5493</v>
      </c>
      <c r="G63">
        <f t="shared" si="9"/>
        <v>-6.1351399999693967E-2</v>
      </c>
      <c r="I63">
        <f>G63</f>
        <v>-6.1351399999693967E-2</v>
      </c>
      <c r="O63">
        <f t="shared" ca="1" si="10"/>
        <v>-4.7451859736435092E-2</v>
      </c>
      <c r="Q63" s="2">
        <f t="shared" si="11"/>
        <v>38386.463000000003</v>
      </c>
    </row>
    <row r="64" spans="1:32" x14ac:dyDescent="0.2">
      <c r="A64" s="12" t="s">
        <v>52</v>
      </c>
      <c r="B64" s="10"/>
      <c r="C64" s="13">
        <v>53432.453800000003</v>
      </c>
      <c r="D64" s="13">
        <v>3.0999999999999999E-3</v>
      </c>
      <c r="E64">
        <f t="shared" si="7"/>
        <v>5501.9825128605125</v>
      </c>
      <c r="F64">
        <f t="shared" si="8"/>
        <v>5502</v>
      </c>
      <c r="G64">
        <f t="shared" si="9"/>
        <v>-5.3399600001284853E-2</v>
      </c>
      <c r="J64">
        <f>G64</f>
        <v>-5.3399600001284853E-2</v>
      </c>
      <c r="O64">
        <f t="shared" ca="1" si="10"/>
        <v>-4.7537220506083153E-2</v>
      </c>
      <c r="Q64" s="2">
        <f t="shared" si="11"/>
        <v>38413.953800000003</v>
      </c>
    </row>
    <row r="65" spans="1:17" x14ac:dyDescent="0.2">
      <c r="A65" s="14" t="s">
        <v>53</v>
      </c>
      <c r="B65" s="9"/>
      <c r="C65" s="13">
        <v>53670.643100000001</v>
      </c>
      <c r="D65" s="13">
        <v>1.2999999999999999E-3</v>
      </c>
      <c r="E65">
        <f t="shared" si="7"/>
        <v>5579.9840243632389</v>
      </c>
      <c r="F65">
        <f t="shared" si="8"/>
        <v>5580</v>
      </c>
      <c r="G65">
        <f t="shared" si="9"/>
        <v>-4.878399999870453E-2</v>
      </c>
      <c r="J65">
        <f>G65</f>
        <v>-4.878399999870453E-2</v>
      </c>
      <c r="O65">
        <f t="shared" ca="1" si="10"/>
        <v>-4.8277013843033047E-2</v>
      </c>
      <c r="Q65" s="2">
        <f t="shared" si="11"/>
        <v>38652.143100000001</v>
      </c>
    </row>
    <row r="66" spans="1:17" x14ac:dyDescent="0.2">
      <c r="A66" t="s">
        <v>268</v>
      </c>
      <c r="B66" s="18" t="s">
        <v>49</v>
      </c>
      <c r="C66" s="13">
        <v>53743.915999999997</v>
      </c>
      <c r="D66" s="13" t="s">
        <v>78</v>
      </c>
      <c r="E66">
        <f t="shared" si="7"/>
        <v>5603.9792120235907</v>
      </c>
      <c r="F66">
        <f t="shared" si="8"/>
        <v>5604</v>
      </c>
      <c r="G66">
        <f t="shared" si="9"/>
        <v>-6.3479200005531311E-2</v>
      </c>
      <c r="I66">
        <f>G66</f>
        <v>-6.3479200005531311E-2</v>
      </c>
      <c r="O66">
        <f t="shared" ca="1" si="10"/>
        <v>-4.8504642562094552E-2</v>
      </c>
      <c r="Q66" s="2">
        <f t="shared" si="11"/>
        <v>38725.415999999997</v>
      </c>
    </row>
    <row r="67" spans="1:17" x14ac:dyDescent="0.2">
      <c r="A67" s="11" t="s">
        <v>60</v>
      </c>
      <c r="B67" s="49"/>
      <c r="C67" s="11">
        <v>53765.302499999998</v>
      </c>
      <c r="D67" s="11">
        <v>2.0000000000000001E-4</v>
      </c>
      <c r="E67">
        <f t="shared" si="7"/>
        <v>5610.9827983549376</v>
      </c>
      <c r="F67">
        <f t="shared" si="8"/>
        <v>5611</v>
      </c>
      <c r="G67">
        <f t="shared" si="9"/>
        <v>-5.2527800005918834E-2</v>
      </c>
      <c r="J67">
        <f>G67</f>
        <v>-5.2527800005918834E-2</v>
      </c>
      <c r="O67">
        <f t="shared" ca="1" si="10"/>
        <v>-4.8571034271820829E-2</v>
      </c>
      <c r="Q67" s="2">
        <f t="shared" si="11"/>
        <v>38746.802499999998</v>
      </c>
    </row>
    <row r="68" spans="1:17" x14ac:dyDescent="0.2">
      <c r="A68" s="11" t="s">
        <v>60</v>
      </c>
      <c r="B68" s="49"/>
      <c r="C68" s="11">
        <v>54165.333100000003</v>
      </c>
      <c r="D68" s="11">
        <v>1.2999999999999999E-3</v>
      </c>
      <c r="E68">
        <f t="shared" si="7"/>
        <v>5741.983609253426</v>
      </c>
      <c r="F68">
        <f t="shared" si="8"/>
        <v>5742</v>
      </c>
      <c r="G68">
        <f t="shared" si="9"/>
        <v>-5.005160000291653E-2</v>
      </c>
      <c r="J68">
        <f>G68</f>
        <v>-5.005160000291653E-2</v>
      </c>
      <c r="O68">
        <f t="shared" ca="1" si="10"/>
        <v>-4.9813507696698213E-2</v>
      </c>
      <c r="Q68" s="2">
        <f t="shared" si="11"/>
        <v>39146.833100000003</v>
      </c>
    </row>
    <row r="69" spans="1:17" x14ac:dyDescent="0.2">
      <c r="A69" s="11" t="s">
        <v>60</v>
      </c>
      <c r="B69" s="49"/>
      <c r="C69" s="11">
        <v>54171.439100000003</v>
      </c>
      <c r="D69" s="11">
        <v>2.0000000000000001E-4</v>
      </c>
      <c r="E69">
        <f t="shared" si="7"/>
        <v>5743.9831836643489</v>
      </c>
      <c r="F69">
        <f t="shared" si="8"/>
        <v>5744</v>
      </c>
      <c r="G69">
        <f t="shared" si="9"/>
        <v>-5.1351200003409758E-2</v>
      </c>
      <c r="J69">
        <f>G69</f>
        <v>-5.1351200003409758E-2</v>
      </c>
      <c r="O69">
        <f t="shared" ca="1" si="10"/>
        <v>-4.983247675662001E-2</v>
      </c>
      <c r="Q69" s="2">
        <f t="shared" si="11"/>
        <v>39152.939100000003</v>
      </c>
    </row>
    <row r="70" spans="1:17" x14ac:dyDescent="0.2">
      <c r="A70" s="11" t="s">
        <v>63</v>
      </c>
      <c r="B70" s="50" t="s">
        <v>49</v>
      </c>
      <c r="C70" s="11">
        <v>54507.3393</v>
      </c>
      <c r="D70" s="11">
        <v>5.0000000000000001E-4</v>
      </c>
      <c r="E70">
        <f t="shared" si="7"/>
        <v>5853.9827651487731</v>
      </c>
      <c r="F70">
        <f t="shared" si="8"/>
        <v>5854</v>
      </c>
      <c r="G70">
        <f t="shared" si="9"/>
        <v>-5.2629200006776955E-2</v>
      </c>
      <c r="J70">
        <f>G70</f>
        <v>-5.2629200006776955E-2</v>
      </c>
      <c r="O70">
        <f t="shared" ca="1" si="10"/>
        <v>-5.0875775052318578E-2</v>
      </c>
      <c r="Q70" s="2">
        <f t="shared" si="11"/>
        <v>39488.8393</v>
      </c>
    </row>
    <row r="71" spans="1:17" x14ac:dyDescent="0.2">
      <c r="A71" s="51" t="s">
        <v>294</v>
      </c>
      <c r="B71" s="50" t="s">
        <v>49</v>
      </c>
      <c r="C71" s="11">
        <v>54809.649599999997</v>
      </c>
      <c r="D71" s="11" t="s">
        <v>78</v>
      </c>
      <c r="E71">
        <f t="shared" si="7"/>
        <v>5952.9824277819926</v>
      </c>
      <c r="F71">
        <f t="shared" si="8"/>
        <v>5953</v>
      </c>
      <c r="G71">
        <f t="shared" si="9"/>
        <v>-5.3659400007745717E-2</v>
      </c>
      <c r="K71">
        <f>G71</f>
        <v>-5.3659400007745717E-2</v>
      </c>
      <c r="O71">
        <f t="shared" ca="1" si="10"/>
        <v>-5.1814743518447288E-2</v>
      </c>
      <c r="Q71" s="2">
        <f t="shared" si="11"/>
        <v>39791.149599999997</v>
      </c>
    </row>
    <row r="72" spans="1:17" x14ac:dyDescent="0.2">
      <c r="A72" s="33" t="s">
        <v>62</v>
      </c>
      <c r="B72" s="51"/>
      <c r="C72" s="11">
        <v>54818.810400000002</v>
      </c>
      <c r="D72" s="11">
        <v>1E-4</v>
      </c>
      <c r="E72">
        <f t="shared" si="7"/>
        <v>5955.9823788569338</v>
      </c>
      <c r="F72">
        <f t="shared" si="8"/>
        <v>5956</v>
      </c>
      <c r="G72">
        <f t="shared" si="9"/>
        <v>-5.3808800003025681E-2</v>
      </c>
      <c r="K72">
        <f>G72</f>
        <v>-5.3808800003025681E-2</v>
      </c>
      <c r="O72">
        <f t="shared" ca="1" si="10"/>
        <v>-5.1843197108329978E-2</v>
      </c>
      <c r="Q72" s="2">
        <f t="shared" si="11"/>
        <v>39800.310400000002</v>
      </c>
    </row>
    <row r="73" spans="1:17" x14ac:dyDescent="0.2">
      <c r="A73" s="51" t="s">
        <v>299</v>
      </c>
      <c r="B73" s="50" t="s">
        <v>49</v>
      </c>
      <c r="C73" s="11">
        <v>55579.174200000001</v>
      </c>
      <c r="D73" s="11" t="s">
        <v>78</v>
      </c>
      <c r="E73">
        <f t="shared" si="7"/>
        <v>6204.984016176315</v>
      </c>
      <c r="F73">
        <f t="shared" si="8"/>
        <v>6205</v>
      </c>
      <c r="G73">
        <f t="shared" si="9"/>
        <v>-4.8808999999891967E-2</v>
      </c>
      <c r="K73">
        <f>G73</f>
        <v>-4.8808999999891967E-2</v>
      </c>
      <c r="O73">
        <f t="shared" ca="1" si="10"/>
        <v>-5.4204845068593105E-2</v>
      </c>
      <c r="Q73" s="2">
        <f t="shared" si="11"/>
        <v>40560.674200000001</v>
      </c>
    </row>
    <row r="74" spans="1:17" x14ac:dyDescent="0.2">
      <c r="A74" s="34" t="s">
        <v>66</v>
      </c>
      <c r="B74" s="35" t="s">
        <v>49</v>
      </c>
      <c r="C74" s="34">
        <v>55609.705600000001</v>
      </c>
      <c r="D74" s="34">
        <v>2.0000000000000001E-4</v>
      </c>
      <c r="E74">
        <f t="shared" si="7"/>
        <v>6214.9823466986945</v>
      </c>
      <c r="F74">
        <f t="shared" si="8"/>
        <v>6215</v>
      </c>
      <c r="G74">
        <f t="shared" si="9"/>
        <v>-5.3907000001345295E-2</v>
      </c>
      <c r="K74">
        <f>G74</f>
        <v>-5.3907000001345295E-2</v>
      </c>
      <c r="O74">
        <f t="shared" ca="1" si="10"/>
        <v>-5.4299690368202064E-2</v>
      </c>
      <c r="Q74" s="2">
        <f t="shared" si="11"/>
        <v>40591.205600000001</v>
      </c>
    </row>
    <row r="75" spans="1:17" x14ac:dyDescent="0.2">
      <c r="A75" s="51" t="s">
        <v>311</v>
      </c>
      <c r="B75" s="50" t="s">
        <v>49</v>
      </c>
      <c r="C75" s="11">
        <v>55970.036099999998</v>
      </c>
      <c r="D75" s="11" t="s">
        <v>78</v>
      </c>
      <c r="E75">
        <f t="shared" si="7"/>
        <v>6332.9822889317547</v>
      </c>
      <c r="F75">
        <f t="shared" si="8"/>
        <v>6333</v>
      </c>
      <c r="G75">
        <f t="shared" si="9"/>
        <v>-5.4083399998489767E-2</v>
      </c>
      <c r="K75">
        <f>G75</f>
        <v>-5.4083399998489767E-2</v>
      </c>
      <c r="O75">
        <f t="shared" ca="1" si="10"/>
        <v>-5.5418864903587807E-2</v>
      </c>
      <c r="Q75" s="2">
        <f t="shared" si="11"/>
        <v>40951.536099999998</v>
      </c>
    </row>
    <row r="76" spans="1:17" x14ac:dyDescent="0.2">
      <c r="A76" s="52" t="s">
        <v>67</v>
      </c>
      <c r="B76" s="50"/>
      <c r="C76" s="52">
        <v>57069.344799999999</v>
      </c>
      <c r="D76" s="52">
        <v>2.2000000000000001E-3</v>
      </c>
      <c r="E76">
        <f t="shared" si="7"/>
        <v>6692.9805768821288</v>
      </c>
      <c r="F76">
        <f t="shared" si="8"/>
        <v>6693</v>
      </c>
      <c r="G76">
        <f t="shared" si="9"/>
        <v>-5.9311400000296999E-2</v>
      </c>
      <c r="J76">
        <f>G76</f>
        <v>-5.9311400000296999E-2</v>
      </c>
      <c r="O76">
        <f t="shared" ca="1" si="10"/>
        <v>-5.8833295689510401E-2</v>
      </c>
      <c r="Q76" s="2">
        <f t="shared" si="11"/>
        <v>42050.844799999999</v>
      </c>
    </row>
    <row r="77" spans="1:17" x14ac:dyDescent="0.2">
      <c r="A77" s="53" t="s">
        <v>1</v>
      </c>
      <c r="B77" s="54" t="s">
        <v>49</v>
      </c>
      <c r="C77" s="55">
        <v>57414.407899999998</v>
      </c>
      <c r="D77" s="55">
        <v>5.0000000000000001E-4</v>
      </c>
      <c r="E77">
        <f>+(C77-C$7)/C$8</f>
        <v>6805.9807971431419</v>
      </c>
      <c r="F77">
        <f t="shared" si="8"/>
        <v>6806</v>
      </c>
      <c r="G77">
        <f>+C77-(C$7+F77*C$8)</f>
        <v>-5.8638800001062918E-2</v>
      </c>
      <c r="K77">
        <f>G77</f>
        <v>-5.8638800001062918E-2</v>
      </c>
      <c r="O77">
        <f ca="1">+C$11+C$12*F77</f>
        <v>-5.9905047575091658E-2</v>
      </c>
      <c r="Q77" s="2">
        <f>+C77-15018.5</f>
        <v>42395.907899999998</v>
      </c>
    </row>
    <row r="78" spans="1:17" x14ac:dyDescent="0.2">
      <c r="A78" s="56" t="s">
        <v>0</v>
      </c>
      <c r="B78" s="57" t="s">
        <v>49</v>
      </c>
      <c r="C78" s="57">
        <v>57811.379000000001</v>
      </c>
      <c r="D78" s="57">
        <v>5.0000000000000001E-4</v>
      </c>
      <c r="E78">
        <f>+(C78-C$7)/C$8</f>
        <v>6935.9796922358282</v>
      </c>
      <c r="F78">
        <f t="shared" si="8"/>
        <v>6936</v>
      </c>
      <c r="G78">
        <f>+C78-(C$7+F78*C$8)</f>
        <v>-6.2012800000957213E-2</v>
      </c>
      <c r="K78">
        <f>G78</f>
        <v>-6.2012800000957213E-2</v>
      </c>
      <c r="O78">
        <f ca="1">+C$11+C$12*F78</f>
        <v>-6.113803647000815E-2</v>
      </c>
      <c r="Q78" s="2">
        <f>+C78-15018.5</f>
        <v>42792.879000000001</v>
      </c>
    </row>
    <row r="79" spans="1:17" x14ac:dyDescent="0.2">
      <c r="A79" s="58" t="s">
        <v>318</v>
      </c>
      <c r="B79" s="59" t="s">
        <v>49</v>
      </c>
      <c r="C79" s="60">
        <v>58962.6008</v>
      </c>
      <c r="D79" s="60">
        <v>6.9999999999999999E-4</v>
      </c>
      <c r="E79">
        <f>+(C79-C$7)/C$8</f>
        <v>7312.9783251504477</v>
      </c>
      <c r="F79">
        <f>ROUND(2*E79,0)/2</f>
        <v>7313</v>
      </c>
      <c r="G79">
        <f>+C79-(C$7+F79*C$8)</f>
        <v>-6.618739999976242E-2</v>
      </c>
      <c r="K79">
        <f>G79</f>
        <v>-6.618739999976242E-2</v>
      </c>
      <c r="O79">
        <f ca="1">+C$11+C$12*F79</f>
        <v>-6.4713704265265973E-2</v>
      </c>
      <c r="Q79" s="2">
        <f>+C79-15018.5</f>
        <v>43944.1008</v>
      </c>
    </row>
    <row r="80" spans="1:17" x14ac:dyDescent="0.2">
      <c r="A80" s="51"/>
      <c r="B80" s="51"/>
      <c r="C80" s="51"/>
      <c r="D80" s="51"/>
    </row>
  </sheetData>
  <protectedRanges>
    <protectedRange sqref="A79:D79" name="Range1"/>
  </protectedRanges>
  <phoneticPr fontId="0" type="noConversion"/>
  <hyperlinks>
    <hyperlink ref="H435" r:id="rId1" display="http://vsolj.cetus-net.org/bulletin.html"/>
    <hyperlink ref="H428" r:id="rId2" display="http://vsolj.cetus-net.org/bulletin.html"/>
    <hyperlink ref="H64486" r:id="rId3" display="http://vsolj.cetus-net.org/bulletin.html"/>
    <hyperlink ref="H64479" r:id="rId4" display="https://www.aavso.org/ejaavso"/>
    <hyperlink ref="AP630" r:id="rId5" display="http://cdsbib.u-strasbg.fr/cgi-bin/cdsbib?1990RMxAA..21..381G"/>
    <hyperlink ref="AP634" r:id="rId6" display="http://cdsbib.u-strasbg.fr/cgi-bin/cdsbib?1990RMxAA..21..381G"/>
    <hyperlink ref="AP633" r:id="rId7" display="http://cdsbib.u-strasbg.fr/cgi-bin/cdsbib?1990RMxAA..21..381G"/>
    <hyperlink ref="AP614" r:id="rId8" display="http://cdsbib.u-strasbg.fr/cgi-bin/cdsbib?1990RMxAA..21..381G"/>
    <hyperlink ref="I64486" r:id="rId9" display="http://vsolj.cetus-net.org/bulletin.html"/>
    <hyperlink ref="AQ770" r:id="rId10" display="http://cdsbib.u-strasbg.fr/cgi-bin/cdsbib?1990RMxAA..21..381G"/>
    <hyperlink ref="AQ55536" r:id="rId11" display="http://cdsbib.u-strasbg.fr/cgi-bin/cdsbib?1990RMxAA..21..381G"/>
    <hyperlink ref="AQ771" r:id="rId12" display="http://cdsbib.u-strasbg.fr/cgi-bin/cdsbib?1990RMxAA..21..381G"/>
    <hyperlink ref="H64483" r:id="rId13" display="https://www.aavso.org/ejaavso"/>
    <hyperlink ref="H1656" r:id="rId14" display="http://vsolj.cetus-net.org/bulletin.html"/>
    <hyperlink ref="AP2900" r:id="rId15" display="http://cdsbib.u-strasbg.fr/cgi-bin/cdsbib?1990RMxAA..21..381G"/>
    <hyperlink ref="AP2903" r:id="rId16" display="http://cdsbib.u-strasbg.fr/cgi-bin/cdsbib?1990RMxAA..21..381G"/>
    <hyperlink ref="AP2901" r:id="rId17" display="http://cdsbib.u-strasbg.fr/cgi-bin/cdsbib?1990RMxAA..21..381G"/>
    <hyperlink ref="AP2885" r:id="rId18" display="http://cdsbib.u-strasbg.fr/cgi-bin/cdsbib?1990RMxAA..21..381G"/>
    <hyperlink ref="I1656" r:id="rId19" display="http://vsolj.cetus-net.org/bulletin.html"/>
    <hyperlink ref="AQ3114" r:id="rId20" display="http://cdsbib.u-strasbg.fr/cgi-bin/cdsbib?1990RMxAA..21..381G"/>
    <hyperlink ref="AQ65351" r:id="rId21" display="http://cdsbib.u-strasbg.fr/cgi-bin/cdsbib?1990RMxAA..21..381G"/>
    <hyperlink ref="AQ3118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38"/>
  <sheetViews>
    <sheetView topLeftCell="A19" workbookViewId="0">
      <selection activeCell="A34" sqref="A34:D65"/>
    </sheetView>
  </sheetViews>
  <sheetFormatPr defaultRowHeight="12.75" x14ac:dyDescent="0.2"/>
  <cols>
    <col min="1" max="1" width="19.7109375" style="13" customWidth="1"/>
    <col min="2" max="2" width="4.42578125" style="14" customWidth="1"/>
    <col min="3" max="3" width="12.7109375" style="13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3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6" t="s">
        <v>68</v>
      </c>
      <c r="I1" s="37" t="s">
        <v>69</v>
      </c>
      <c r="J1" s="38" t="s">
        <v>70</v>
      </c>
    </row>
    <row r="2" spans="1:16" x14ac:dyDescent="0.2">
      <c r="I2" s="39" t="s">
        <v>71</v>
      </c>
      <c r="J2" s="40" t="s">
        <v>72</v>
      </c>
    </row>
    <row r="3" spans="1:16" x14ac:dyDescent="0.2">
      <c r="A3" s="41" t="s">
        <v>73</v>
      </c>
      <c r="I3" s="39" t="s">
        <v>74</v>
      </c>
      <c r="J3" s="40" t="s">
        <v>75</v>
      </c>
    </row>
    <row r="4" spans="1:16" x14ac:dyDescent="0.2">
      <c r="I4" s="39" t="s">
        <v>76</v>
      </c>
      <c r="J4" s="40" t="s">
        <v>75</v>
      </c>
    </row>
    <row r="5" spans="1:16" ht="13.5" thickBot="1" x14ac:dyDescent="0.25">
      <c r="I5" s="42" t="s">
        <v>77</v>
      </c>
      <c r="J5" s="43" t="s">
        <v>78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AA 10.69 </v>
      </c>
      <c r="B11" s="18" t="str">
        <f t="shared" ref="B11:B42" si="1">IF(H11=INT(H11),"I","II")</f>
        <v>I</v>
      </c>
      <c r="C11" s="13">
        <f t="shared" ref="C11:C42" si="2">1*G11</f>
        <v>36631.326000000001</v>
      </c>
      <c r="D11" s="14" t="str">
        <f t="shared" ref="D11:D42" si="3">VLOOKUP(F11,I$1:J$5,2,FALSE)</f>
        <v>vis</v>
      </c>
      <c r="E11" s="44">
        <f>VLOOKUP(C11,Active!C$21:E$973,3,FALSE)</f>
        <v>0</v>
      </c>
      <c r="F11" s="18" t="s">
        <v>77</v>
      </c>
      <c r="G11" s="14" t="str">
        <f t="shared" ref="G11:G42" si="4">MID(I11,3,LEN(I11)-3)</f>
        <v>36631.326</v>
      </c>
      <c r="H11" s="13">
        <f t="shared" ref="H11:H42" si="5">1*K11</f>
        <v>0</v>
      </c>
      <c r="I11" s="45" t="s">
        <v>160</v>
      </c>
      <c r="J11" s="46" t="s">
        <v>161</v>
      </c>
      <c r="K11" s="45">
        <v>0</v>
      </c>
      <c r="L11" s="45" t="s">
        <v>162</v>
      </c>
      <c r="M11" s="46" t="s">
        <v>98</v>
      </c>
      <c r="N11" s="46"/>
      <c r="O11" s="47" t="s">
        <v>122</v>
      </c>
      <c r="P11" s="47" t="s">
        <v>163</v>
      </c>
    </row>
    <row r="12" spans="1:16" ht="12.75" customHeight="1" thickBot="1" x14ac:dyDescent="0.25">
      <c r="A12" s="13" t="str">
        <f t="shared" si="0"/>
        <v> BBS 8 </v>
      </c>
      <c r="B12" s="18" t="str">
        <f t="shared" si="1"/>
        <v>I</v>
      </c>
      <c r="C12" s="13">
        <f t="shared" si="2"/>
        <v>41761.447999999997</v>
      </c>
      <c r="D12" s="14" t="str">
        <f t="shared" si="3"/>
        <v>vis</v>
      </c>
      <c r="E12" s="44">
        <f>VLOOKUP(C12,Active!C$21:E$973,3,FALSE)</f>
        <v>1679.9968352625096</v>
      </c>
      <c r="F12" s="18" t="s">
        <v>77</v>
      </c>
      <c r="G12" s="14" t="str">
        <f t="shared" si="4"/>
        <v>41761.448</v>
      </c>
      <c r="H12" s="13">
        <f t="shared" si="5"/>
        <v>1680</v>
      </c>
      <c r="I12" s="45" t="s">
        <v>180</v>
      </c>
      <c r="J12" s="46" t="s">
        <v>181</v>
      </c>
      <c r="K12" s="45">
        <v>1680</v>
      </c>
      <c r="L12" s="45" t="s">
        <v>182</v>
      </c>
      <c r="M12" s="46" t="s">
        <v>98</v>
      </c>
      <c r="N12" s="46"/>
      <c r="O12" s="47" t="s">
        <v>183</v>
      </c>
      <c r="P12" s="47" t="s">
        <v>184</v>
      </c>
    </row>
    <row r="13" spans="1:16" ht="12.75" customHeight="1" thickBot="1" x14ac:dyDescent="0.25">
      <c r="A13" s="13" t="str">
        <f t="shared" si="0"/>
        <v> BBS 20 </v>
      </c>
      <c r="B13" s="18" t="str">
        <f t="shared" si="1"/>
        <v>I</v>
      </c>
      <c r="C13" s="13">
        <f t="shared" si="2"/>
        <v>42439.360000000001</v>
      </c>
      <c r="D13" s="14" t="str">
        <f t="shared" si="3"/>
        <v>vis</v>
      </c>
      <c r="E13" s="44">
        <f>VLOOKUP(C13,Active!C$21:E$973,3,FALSE)</f>
        <v>1901.9974065133465</v>
      </c>
      <c r="F13" s="18" t="s">
        <v>77</v>
      </c>
      <c r="G13" s="14" t="str">
        <f t="shared" si="4"/>
        <v>42439.360</v>
      </c>
      <c r="H13" s="13">
        <f t="shared" si="5"/>
        <v>1902</v>
      </c>
      <c r="I13" s="45" t="s">
        <v>185</v>
      </c>
      <c r="J13" s="46" t="s">
        <v>186</v>
      </c>
      <c r="K13" s="45">
        <v>1902</v>
      </c>
      <c r="L13" s="45" t="s">
        <v>187</v>
      </c>
      <c r="M13" s="46" t="s">
        <v>98</v>
      </c>
      <c r="N13" s="46"/>
      <c r="O13" s="47" t="s">
        <v>188</v>
      </c>
      <c r="P13" s="47" t="s">
        <v>189</v>
      </c>
    </row>
    <row r="14" spans="1:16" ht="12.75" customHeight="1" thickBot="1" x14ac:dyDescent="0.25">
      <c r="A14" s="13" t="str">
        <f t="shared" si="0"/>
        <v> BBS 20 </v>
      </c>
      <c r="B14" s="18" t="str">
        <f t="shared" si="1"/>
        <v>I</v>
      </c>
      <c r="C14" s="13">
        <f t="shared" si="2"/>
        <v>42439.364000000001</v>
      </c>
      <c r="D14" s="14" t="str">
        <f t="shared" si="3"/>
        <v>vis</v>
      </c>
      <c r="E14" s="44">
        <f>VLOOKUP(C14,Active!C$21:E$973,3,FALSE)</f>
        <v>1901.998716421248</v>
      </c>
      <c r="F14" s="18" t="s">
        <v>77</v>
      </c>
      <c r="G14" s="14" t="str">
        <f t="shared" si="4"/>
        <v>42439.364</v>
      </c>
      <c r="H14" s="13">
        <f t="shared" si="5"/>
        <v>1902</v>
      </c>
      <c r="I14" s="45" t="s">
        <v>190</v>
      </c>
      <c r="J14" s="46" t="s">
        <v>191</v>
      </c>
      <c r="K14" s="45">
        <v>1902</v>
      </c>
      <c r="L14" s="45" t="s">
        <v>192</v>
      </c>
      <c r="M14" s="46" t="s">
        <v>98</v>
      </c>
      <c r="N14" s="46"/>
      <c r="O14" s="47" t="s">
        <v>183</v>
      </c>
      <c r="P14" s="47" t="s">
        <v>189</v>
      </c>
    </row>
    <row r="15" spans="1:16" ht="12.75" customHeight="1" thickBot="1" x14ac:dyDescent="0.25">
      <c r="A15" s="13" t="str">
        <f t="shared" si="0"/>
        <v> BBS 27 </v>
      </c>
      <c r="B15" s="18" t="str">
        <f t="shared" si="1"/>
        <v>I</v>
      </c>
      <c r="C15" s="13">
        <f t="shared" si="2"/>
        <v>42839.4</v>
      </c>
      <c r="D15" s="14" t="str">
        <f t="shared" si="3"/>
        <v>vis</v>
      </c>
      <c r="E15" s="44">
        <f>VLOOKUP(C15,Active!C$21:E$973,3,FALSE)</f>
        <v>2033.0012956954004</v>
      </c>
      <c r="F15" s="18" t="s">
        <v>77</v>
      </c>
      <c r="G15" s="14" t="str">
        <f t="shared" si="4"/>
        <v>42839.400</v>
      </c>
      <c r="H15" s="13">
        <f t="shared" si="5"/>
        <v>2033</v>
      </c>
      <c r="I15" s="45" t="s">
        <v>195</v>
      </c>
      <c r="J15" s="46" t="s">
        <v>196</v>
      </c>
      <c r="K15" s="45">
        <v>2033</v>
      </c>
      <c r="L15" s="45" t="s">
        <v>106</v>
      </c>
      <c r="M15" s="46" t="s">
        <v>98</v>
      </c>
      <c r="N15" s="46"/>
      <c r="O15" s="47" t="s">
        <v>197</v>
      </c>
      <c r="P15" s="47" t="s">
        <v>198</v>
      </c>
    </row>
    <row r="16" spans="1:16" ht="12.75" customHeight="1" thickBot="1" x14ac:dyDescent="0.25">
      <c r="A16" s="13" t="str">
        <f t="shared" si="0"/>
        <v> BBS 27 </v>
      </c>
      <c r="B16" s="18" t="str">
        <f t="shared" si="1"/>
        <v>I</v>
      </c>
      <c r="C16" s="13">
        <f t="shared" si="2"/>
        <v>42842.436000000002</v>
      </c>
      <c r="D16" s="14" t="str">
        <f t="shared" si="3"/>
        <v>vis</v>
      </c>
      <c r="E16" s="44">
        <f>VLOOKUP(C16,Active!C$21:E$973,3,FALSE)</f>
        <v>2033.9955157922825</v>
      </c>
      <c r="F16" s="18" t="s">
        <v>77</v>
      </c>
      <c r="G16" s="14" t="str">
        <f t="shared" si="4"/>
        <v>42842.436</v>
      </c>
      <c r="H16" s="13">
        <f t="shared" si="5"/>
        <v>2034</v>
      </c>
      <c r="I16" s="45" t="s">
        <v>199</v>
      </c>
      <c r="J16" s="46" t="s">
        <v>200</v>
      </c>
      <c r="K16" s="45">
        <v>2034</v>
      </c>
      <c r="L16" s="45" t="s">
        <v>177</v>
      </c>
      <c r="M16" s="46" t="s">
        <v>98</v>
      </c>
      <c r="N16" s="46"/>
      <c r="O16" s="47" t="s">
        <v>197</v>
      </c>
      <c r="P16" s="47" t="s">
        <v>198</v>
      </c>
    </row>
    <row r="17" spans="1:16" ht="12.75" customHeight="1" thickBot="1" x14ac:dyDescent="0.25">
      <c r="A17" s="13" t="str">
        <f t="shared" si="0"/>
        <v> BBS 53 </v>
      </c>
      <c r="B17" s="18" t="str">
        <f t="shared" si="1"/>
        <v>I</v>
      </c>
      <c r="C17" s="13">
        <f t="shared" si="2"/>
        <v>44662.421999999999</v>
      </c>
      <c r="D17" s="14" t="str">
        <f t="shared" si="3"/>
        <v>vis</v>
      </c>
      <c r="E17" s="44">
        <f>VLOOKUP(C17,Active!C$21:E$973,3,FALSE)</f>
        <v>2629.9990260834747</v>
      </c>
      <c r="F17" s="18" t="s">
        <v>77</v>
      </c>
      <c r="G17" s="14" t="str">
        <f t="shared" si="4"/>
        <v>44662.422</v>
      </c>
      <c r="H17" s="13">
        <f t="shared" si="5"/>
        <v>2630</v>
      </c>
      <c r="I17" s="45" t="s">
        <v>201</v>
      </c>
      <c r="J17" s="46" t="s">
        <v>202</v>
      </c>
      <c r="K17" s="45">
        <v>2630</v>
      </c>
      <c r="L17" s="45" t="s">
        <v>79</v>
      </c>
      <c r="M17" s="46" t="s">
        <v>98</v>
      </c>
      <c r="N17" s="46"/>
      <c r="O17" s="47" t="s">
        <v>197</v>
      </c>
      <c r="P17" s="47" t="s">
        <v>203</v>
      </c>
    </row>
    <row r="18" spans="1:16" ht="12.75" customHeight="1" thickBot="1" x14ac:dyDescent="0.25">
      <c r="A18" s="13" t="str">
        <f t="shared" si="0"/>
        <v> BBS 65 </v>
      </c>
      <c r="B18" s="18" t="str">
        <f t="shared" si="1"/>
        <v>I</v>
      </c>
      <c r="C18" s="13">
        <f t="shared" si="2"/>
        <v>45401.41</v>
      </c>
      <c r="D18" s="14" t="str">
        <f t="shared" si="3"/>
        <v>vis</v>
      </c>
      <c r="E18" s="44">
        <f>VLOOKUP(C18,Active!C$21:E$973,3,FALSE)</f>
        <v>2872.0005810751459</v>
      </c>
      <c r="F18" s="18" t="s">
        <v>77</v>
      </c>
      <c r="G18" s="14" t="str">
        <f t="shared" si="4"/>
        <v>45401.410</v>
      </c>
      <c r="H18" s="13">
        <f t="shared" si="5"/>
        <v>2872</v>
      </c>
      <c r="I18" s="45" t="s">
        <v>204</v>
      </c>
      <c r="J18" s="46" t="s">
        <v>205</v>
      </c>
      <c r="K18" s="45">
        <v>2872</v>
      </c>
      <c r="L18" s="45" t="s">
        <v>206</v>
      </c>
      <c r="M18" s="46" t="s">
        <v>98</v>
      </c>
      <c r="N18" s="46"/>
      <c r="O18" s="47" t="s">
        <v>197</v>
      </c>
      <c r="P18" s="47" t="s">
        <v>207</v>
      </c>
    </row>
    <row r="19" spans="1:16" ht="12.75" customHeight="1" thickBot="1" x14ac:dyDescent="0.25">
      <c r="A19" s="13" t="str">
        <f t="shared" si="0"/>
        <v> BRNO 30 </v>
      </c>
      <c r="B19" s="18" t="str">
        <f t="shared" si="1"/>
        <v>I</v>
      </c>
      <c r="C19" s="13">
        <f t="shared" si="2"/>
        <v>46827.464</v>
      </c>
      <c r="D19" s="14" t="str">
        <f t="shared" si="3"/>
        <v>vis</v>
      </c>
      <c r="E19" s="44">
        <f>VLOOKUP(C19,Active!C$21:E$973,3,FALSE)</f>
        <v>3339.0004315491574</v>
      </c>
      <c r="F19" s="18" t="s">
        <v>77</v>
      </c>
      <c r="G19" s="14" t="str">
        <f t="shared" si="4"/>
        <v>46827.464</v>
      </c>
      <c r="H19" s="13">
        <f t="shared" si="5"/>
        <v>3339</v>
      </c>
      <c r="I19" s="45" t="s">
        <v>208</v>
      </c>
      <c r="J19" s="46" t="s">
        <v>209</v>
      </c>
      <c r="K19" s="45">
        <v>3339</v>
      </c>
      <c r="L19" s="45" t="s">
        <v>142</v>
      </c>
      <c r="M19" s="46" t="s">
        <v>98</v>
      </c>
      <c r="N19" s="46"/>
      <c r="O19" s="47" t="s">
        <v>210</v>
      </c>
      <c r="P19" s="47" t="s">
        <v>211</v>
      </c>
    </row>
    <row r="20" spans="1:16" ht="12.75" customHeight="1" thickBot="1" x14ac:dyDescent="0.25">
      <c r="A20" s="13" t="str">
        <f t="shared" si="0"/>
        <v> BRNO 30 </v>
      </c>
      <c r="B20" s="18" t="str">
        <f t="shared" si="1"/>
        <v>I</v>
      </c>
      <c r="C20" s="13">
        <f t="shared" si="2"/>
        <v>46827.47</v>
      </c>
      <c r="D20" s="14" t="str">
        <f t="shared" si="3"/>
        <v>vis</v>
      </c>
      <c r="E20" s="44">
        <f>VLOOKUP(C20,Active!C$21:E$973,3,FALSE)</f>
        <v>3339.0023964110096</v>
      </c>
      <c r="F20" s="18" t="s">
        <v>77</v>
      </c>
      <c r="G20" s="14" t="str">
        <f t="shared" si="4"/>
        <v>46827.470</v>
      </c>
      <c r="H20" s="13">
        <f t="shared" si="5"/>
        <v>3339</v>
      </c>
      <c r="I20" s="45" t="s">
        <v>212</v>
      </c>
      <c r="J20" s="46" t="s">
        <v>213</v>
      </c>
      <c r="K20" s="45">
        <v>3339</v>
      </c>
      <c r="L20" s="45" t="s">
        <v>214</v>
      </c>
      <c r="M20" s="46" t="s">
        <v>98</v>
      </c>
      <c r="N20" s="46"/>
      <c r="O20" s="47" t="s">
        <v>215</v>
      </c>
      <c r="P20" s="47" t="s">
        <v>211</v>
      </c>
    </row>
    <row r="21" spans="1:16" ht="12.75" customHeight="1" thickBot="1" x14ac:dyDescent="0.25">
      <c r="A21" s="13" t="str">
        <f t="shared" si="0"/>
        <v> BBS 101 </v>
      </c>
      <c r="B21" s="18" t="str">
        <f t="shared" si="1"/>
        <v>I</v>
      </c>
      <c r="C21" s="13">
        <f t="shared" si="2"/>
        <v>48699.332000000002</v>
      </c>
      <c r="D21" s="14" t="str">
        <f t="shared" si="3"/>
        <v>vis</v>
      </c>
      <c r="E21" s="44">
        <f>VLOOKUP(C21,Active!C$21:E$973,3,FALSE)</f>
        <v>3951.9941022706666</v>
      </c>
      <c r="F21" s="18" t="s">
        <v>77</v>
      </c>
      <c r="G21" s="14" t="str">
        <f t="shared" si="4"/>
        <v>48699.332</v>
      </c>
      <c r="H21" s="13">
        <f t="shared" si="5"/>
        <v>3952</v>
      </c>
      <c r="I21" s="45" t="s">
        <v>216</v>
      </c>
      <c r="J21" s="46" t="s">
        <v>217</v>
      </c>
      <c r="K21" s="45">
        <v>3952</v>
      </c>
      <c r="L21" s="45" t="s">
        <v>218</v>
      </c>
      <c r="M21" s="46" t="s">
        <v>98</v>
      </c>
      <c r="N21" s="46"/>
      <c r="O21" s="47" t="s">
        <v>197</v>
      </c>
      <c r="P21" s="47" t="s">
        <v>219</v>
      </c>
    </row>
    <row r="22" spans="1:16" ht="12.75" customHeight="1" thickBot="1" x14ac:dyDescent="0.25">
      <c r="A22" s="13" t="str">
        <f t="shared" si="0"/>
        <v> BBS 114 </v>
      </c>
      <c r="B22" s="18" t="str">
        <f t="shared" si="1"/>
        <v>I</v>
      </c>
      <c r="C22" s="13">
        <f t="shared" si="2"/>
        <v>50464.33</v>
      </c>
      <c r="D22" s="14" t="str">
        <f t="shared" si="3"/>
        <v>vis</v>
      </c>
      <c r="E22" s="44">
        <f>VLOOKUP(C22,Active!C$21:E$973,3,FALSE)</f>
        <v>4529.9903086463946</v>
      </c>
      <c r="F22" s="18" t="s">
        <v>77</v>
      </c>
      <c r="G22" s="14" t="str">
        <f t="shared" si="4"/>
        <v>50464.330</v>
      </c>
      <c r="H22" s="13">
        <f t="shared" si="5"/>
        <v>4530</v>
      </c>
      <c r="I22" s="45" t="s">
        <v>220</v>
      </c>
      <c r="J22" s="46" t="s">
        <v>221</v>
      </c>
      <c r="K22" s="45">
        <v>4530</v>
      </c>
      <c r="L22" s="45" t="s">
        <v>222</v>
      </c>
      <c r="M22" s="46" t="s">
        <v>98</v>
      </c>
      <c r="N22" s="46"/>
      <c r="O22" s="47" t="s">
        <v>223</v>
      </c>
      <c r="P22" s="47" t="s">
        <v>224</v>
      </c>
    </row>
    <row r="23" spans="1:16" ht="12.75" customHeight="1" thickBot="1" x14ac:dyDescent="0.25">
      <c r="A23" s="13" t="str">
        <f t="shared" si="0"/>
        <v> BBS 114 </v>
      </c>
      <c r="B23" s="18" t="str">
        <f t="shared" si="1"/>
        <v>I</v>
      </c>
      <c r="C23" s="13">
        <f t="shared" si="2"/>
        <v>50519.305</v>
      </c>
      <c r="D23" s="14" t="str">
        <f t="shared" si="3"/>
        <v>vis</v>
      </c>
      <c r="E23" s="44">
        <f>VLOOKUP(C23,Active!C$21:E$973,3,FALSE)</f>
        <v>4547.9933553611809</v>
      </c>
      <c r="F23" s="18" t="s">
        <v>77</v>
      </c>
      <c r="G23" s="14" t="str">
        <f t="shared" si="4"/>
        <v>50519.305</v>
      </c>
      <c r="H23" s="13">
        <f t="shared" si="5"/>
        <v>4548</v>
      </c>
      <c r="I23" s="45" t="s">
        <v>225</v>
      </c>
      <c r="J23" s="46" t="s">
        <v>226</v>
      </c>
      <c r="K23" s="45">
        <v>4548</v>
      </c>
      <c r="L23" s="45" t="s">
        <v>227</v>
      </c>
      <c r="M23" s="46" t="s">
        <v>98</v>
      </c>
      <c r="N23" s="46"/>
      <c r="O23" s="47" t="s">
        <v>197</v>
      </c>
      <c r="P23" s="47" t="s">
        <v>224</v>
      </c>
    </row>
    <row r="24" spans="1:16" ht="12.75" customHeight="1" thickBot="1" x14ac:dyDescent="0.25">
      <c r="A24" s="13" t="str">
        <f t="shared" si="0"/>
        <v> BBS 120 </v>
      </c>
      <c r="B24" s="18" t="str">
        <f t="shared" si="1"/>
        <v>I</v>
      </c>
      <c r="C24" s="13">
        <f t="shared" si="2"/>
        <v>51163.595999999998</v>
      </c>
      <c r="D24" s="14" t="str">
        <f t="shared" si="3"/>
        <v>vis</v>
      </c>
      <c r="E24" s="44">
        <f>VLOOKUP(C24,Active!C$21:E$973,3,FALSE)</f>
        <v>4758.9838232268794</v>
      </c>
      <c r="F24" s="18" t="s">
        <v>77</v>
      </c>
      <c r="G24" s="14" t="str">
        <f t="shared" si="4"/>
        <v>51163.596</v>
      </c>
      <c r="H24" s="13">
        <f t="shared" si="5"/>
        <v>4759</v>
      </c>
      <c r="I24" s="45" t="s">
        <v>233</v>
      </c>
      <c r="J24" s="46" t="s">
        <v>234</v>
      </c>
      <c r="K24" s="45">
        <v>4759</v>
      </c>
      <c r="L24" s="45" t="s">
        <v>235</v>
      </c>
      <c r="M24" s="46" t="s">
        <v>236</v>
      </c>
      <c r="N24" s="46" t="s">
        <v>237</v>
      </c>
      <c r="O24" s="47" t="s">
        <v>238</v>
      </c>
      <c r="P24" s="47" t="s">
        <v>239</v>
      </c>
    </row>
    <row r="25" spans="1:16" ht="12.75" customHeight="1" thickBot="1" x14ac:dyDescent="0.25">
      <c r="A25" s="13" t="str">
        <f t="shared" si="0"/>
        <v>IBVS 5583 </v>
      </c>
      <c r="B25" s="18" t="str">
        <f t="shared" si="1"/>
        <v>I</v>
      </c>
      <c r="C25" s="13">
        <f t="shared" si="2"/>
        <v>53029.376400000001</v>
      </c>
      <c r="D25" s="14" t="str">
        <f t="shared" si="3"/>
        <v>vis</v>
      </c>
      <c r="E25" s="44">
        <f>VLOOKUP(C25,Active!C$21:E$973,3,FALSE)</f>
        <v>5369.9839451138105</v>
      </c>
      <c r="F25" s="18" t="s">
        <v>77</v>
      </c>
      <c r="G25" s="14" t="str">
        <f t="shared" si="4"/>
        <v>53029.3764</v>
      </c>
      <c r="H25" s="13">
        <f t="shared" si="5"/>
        <v>5370</v>
      </c>
      <c r="I25" s="45" t="s">
        <v>240</v>
      </c>
      <c r="J25" s="46" t="s">
        <v>241</v>
      </c>
      <c r="K25" s="45">
        <v>5370</v>
      </c>
      <c r="L25" s="45" t="s">
        <v>242</v>
      </c>
      <c r="M25" s="46" t="s">
        <v>236</v>
      </c>
      <c r="N25" s="46" t="s">
        <v>237</v>
      </c>
      <c r="O25" s="47" t="s">
        <v>243</v>
      </c>
      <c r="P25" s="48" t="s">
        <v>244</v>
      </c>
    </row>
    <row r="26" spans="1:16" ht="12.75" customHeight="1" thickBot="1" x14ac:dyDescent="0.25">
      <c r="A26" s="13" t="str">
        <f t="shared" si="0"/>
        <v>BAVM 173 </v>
      </c>
      <c r="B26" s="18" t="str">
        <f t="shared" si="1"/>
        <v>I</v>
      </c>
      <c r="C26" s="13">
        <f t="shared" si="2"/>
        <v>53432.453800000003</v>
      </c>
      <c r="D26" s="14" t="str">
        <f t="shared" si="3"/>
        <v>vis</v>
      </c>
      <c r="E26" s="44">
        <f>VLOOKUP(C26,Active!C$21:E$973,3,FALSE)</f>
        <v>5501.9825128605125</v>
      </c>
      <c r="F26" s="18" t="s">
        <v>77</v>
      </c>
      <c r="G26" s="14" t="str">
        <f t="shared" si="4"/>
        <v>53432.4538</v>
      </c>
      <c r="H26" s="13">
        <f t="shared" si="5"/>
        <v>5502</v>
      </c>
      <c r="I26" s="45" t="s">
        <v>250</v>
      </c>
      <c r="J26" s="46" t="s">
        <v>251</v>
      </c>
      <c r="K26" s="45">
        <v>5502</v>
      </c>
      <c r="L26" s="45" t="s">
        <v>252</v>
      </c>
      <c r="M26" s="46" t="s">
        <v>236</v>
      </c>
      <c r="N26" s="46" t="s">
        <v>253</v>
      </c>
      <c r="O26" s="47" t="s">
        <v>254</v>
      </c>
      <c r="P26" s="48" t="s">
        <v>255</v>
      </c>
    </row>
    <row r="27" spans="1:16" ht="12.75" customHeight="1" thickBot="1" x14ac:dyDescent="0.25">
      <c r="A27" s="13" t="str">
        <f t="shared" si="0"/>
        <v>BAVM 178 </v>
      </c>
      <c r="B27" s="18" t="str">
        <f t="shared" si="1"/>
        <v>I</v>
      </c>
      <c r="C27" s="13">
        <f t="shared" si="2"/>
        <v>53670.643100000001</v>
      </c>
      <c r="D27" s="14" t="str">
        <f t="shared" si="3"/>
        <v>vis</v>
      </c>
      <c r="E27" s="44">
        <f>VLOOKUP(C27,Active!C$21:E$973,3,FALSE)</f>
        <v>5579.9840243632389</v>
      </c>
      <c r="F27" s="18" t="s">
        <v>77</v>
      </c>
      <c r="G27" s="14" t="str">
        <f t="shared" si="4"/>
        <v>53670.6431</v>
      </c>
      <c r="H27" s="13">
        <f t="shared" si="5"/>
        <v>5580</v>
      </c>
      <c r="I27" s="45" t="s">
        <v>256</v>
      </c>
      <c r="J27" s="46" t="s">
        <v>257</v>
      </c>
      <c r="K27" s="45">
        <v>5580</v>
      </c>
      <c r="L27" s="45" t="s">
        <v>258</v>
      </c>
      <c r="M27" s="46" t="s">
        <v>259</v>
      </c>
      <c r="N27" s="46" t="s">
        <v>260</v>
      </c>
      <c r="O27" s="47" t="s">
        <v>261</v>
      </c>
      <c r="P27" s="48" t="s">
        <v>262</v>
      </c>
    </row>
    <row r="28" spans="1:16" ht="12.75" customHeight="1" thickBot="1" x14ac:dyDescent="0.25">
      <c r="A28" s="13" t="str">
        <f t="shared" si="0"/>
        <v>BAVM 186 </v>
      </c>
      <c r="B28" s="18" t="str">
        <f t="shared" si="1"/>
        <v>I</v>
      </c>
      <c r="C28" s="13">
        <f t="shared" si="2"/>
        <v>53765.302499999998</v>
      </c>
      <c r="D28" s="14" t="str">
        <f t="shared" si="3"/>
        <v>vis</v>
      </c>
      <c r="E28" s="44">
        <f>VLOOKUP(C28,Active!C$21:E$973,3,FALSE)</f>
        <v>5610.9827983549376</v>
      </c>
      <c r="F28" s="18" t="s">
        <v>77</v>
      </c>
      <c r="G28" s="14" t="str">
        <f t="shared" si="4"/>
        <v>53765.3025</v>
      </c>
      <c r="H28" s="13">
        <f t="shared" si="5"/>
        <v>5611</v>
      </c>
      <c r="I28" s="45" t="s">
        <v>269</v>
      </c>
      <c r="J28" s="46" t="s">
        <v>270</v>
      </c>
      <c r="K28" s="45" t="s">
        <v>271</v>
      </c>
      <c r="L28" s="45" t="s">
        <v>272</v>
      </c>
      <c r="M28" s="46" t="s">
        <v>259</v>
      </c>
      <c r="N28" s="46" t="s">
        <v>260</v>
      </c>
      <c r="O28" s="47" t="s">
        <v>273</v>
      </c>
      <c r="P28" s="48" t="s">
        <v>274</v>
      </c>
    </row>
    <row r="29" spans="1:16" ht="12.75" customHeight="1" thickBot="1" x14ac:dyDescent="0.25">
      <c r="A29" s="13" t="str">
        <f t="shared" si="0"/>
        <v>BAVM 186 </v>
      </c>
      <c r="B29" s="18" t="str">
        <f t="shared" si="1"/>
        <v>I</v>
      </c>
      <c r="C29" s="13">
        <f t="shared" si="2"/>
        <v>54165.333100000003</v>
      </c>
      <c r="D29" s="14" t="str">
        <f t="shared" si="3"/>
        <v>vis</v>
      </c>
      <c r="E29" s="44">
        <f>VLOOKUP(C29,Active!C$21:E$973,3,FALSE)</f>
        <v>5741.983609253426</v>
      </c>
      <c r="F29" s="18" t="s">
        <v>77</v>
      </c>
      <c r="G29" s="14" t="str">
        <f t="shared" si="4"/>
        <v>54165.3331</v>
      </c>
      <c r="H29" s="13">
        <f t="shared" si="5"/>
        <v>5742</v>
      </c>
      <c r="I29" s="45" t="s">
        <v>275</v>
      </c>
      <c r="J29" s="46" t="s">
        <v>276</v>
      </c>
      <c r="K29" s="45" t="s">
        <v>277</v>
      </c>
      <c r="L29" s="45" t="s">
        <v>278</v>
      </c>
      <c r="M29" s="46" t="s">
        <v>259</v>
      </c>
      <c r="N29" s="46" t="s">
        <v>253</v>
      </c>
      <c r="O29" s="47" t="s">
        <v>279</v>
      </c>
      <c r="P29" s="48" t="s">
        <v>274</v>
      </c>
    </row>
    <row r="30" spans="1:16" ht="12.75" customHeight="1" thickBot="1" x14ac:dyDescent="0.25">
      <c r="A30" s="13" t="str">
        <f t="shared" si="0"/>
        <v>BAVM 186 </v>
      </c>
      <c r="B30" s="18" t="str">
        <f t="shared" si="1"/>
        <v>I</v>
      </c>
      <c r="C30" s="13">
        <f t="shared" si="2"/>
        <v>54171.439100000003</v>
      </c>
      <c r="D30" s="14" t="str">
        <f t="shared" si="3"/>
        <v>vis</v>
      </c>
      <c r="E30" s="44">
        <f>VLOOKUP(C30,Active!C$21:E$973,3,FALSE)</f>
        <v>5743.9831836643489</v>
      </c>
      <c r="F30" s="18" t="s">
        <v>77</v>
      </c>
      <c r="G30" s="14" t="str">
        <f t="shared" si="4"/>
        <v>54171.4391</v>
      </c>
      <c r="H30" s="13">
        <f t="shared" si="5"/>
        <v>5744</v>
      </c>
      <c r="I30" s="45" t="s">
        <v>280</v>
      </c>
      <c r="J30" s="46" t="s">
        <v>281</v>
      </c>
      <c r="K30" s="45" t="s">
        <v>282</v>
      </c>
      <c r="L30" s="45" t="s">
        <v>283</v>
      </c>
      <c r="M30" s="46" t="s">
        <v>259</v>
      </c>
      <c r="N30" s="46" t="s">
        <v>260</v>
      </c>
      <c r="O30" s="47" t="s">
        <v>261</v>
      </c>
      <c r="P30" s="48" t="s">
        <v>274</v>
      </c>
    </row>
    <row r="31" spans="1:16" ht="12.75" customHeight="1" thickBot="1" x14ac:dyDescent="0.25">
      <c r="A31" s="13" t="str">
        <f t="shared" si="0"/>
        <v>BAVM 201 </v>
      </c>
      <c r="B31" s="18" t="str">
        <f t="shared" si="1"/>
        <v>I</v>
      </c>
      <c r="C31" s="13">
        <f t="shared" si="2"/>
        <v>54507.3393</v>
      </c>
      <c r="D31" s="14" t="str">
        <f t="shared" si="3"/>
        <v>vis</v>
      </c>
      <c r="E31" s="44">
        <f>VLOOKUP(C31,Active!C$21:E$973,3,FALSE)</f>
        <v>5853.9827651487731</v>
      </c>
      <c r="F31" s="18" t="s">
        <v>77</v>
      </c>
      <c r="G31" s="14" t="str">
        <f t="shared" si="4"/>
        <v>54507.3393</v>
      </c>
      <c r="H31" s="13">
        <f t="shared" si="5"/>
        <v>5854</v>
      </c>
      <c r="I31" s="45" t="s">
        <v>284</v>
      </c>
      <c r="J31" s="46" t="s">
        <v>285</v>
      </c>
      <c r="K31" s="45" t="s">
        <v>286</v>
      </c>
      <c r="L31" s="45" t="s">
        <v>287</v>
      </c>
      <c r="M31" s="46" t="s">
        <v>259</v>
      </c>
      <c r="N31" s="46" t="s">
        <v>260</v>
      </c>
      <c r="O31" s="47" t="s">
        <v>288</v>
      </c>
      <c r="P31" s="48" t="s">
        <v>289</v>
      </c>
    </row>
    <row r="32" spans="1:16" ht="12.75" customHeight="1" thickBot="1" x14ac:dyDescent="0.25">
      <c r="A32" s="13" t="str">
        <f t="shared" si="0"/>
        <v>IBVS 5992 </v>
      </c>
      <c r="B32" s="18" t="str">
        <f t="shared" si="1"/>
        <v>I</v>
      </c>
      <c r="C32" s="13">
        <f t="shared" si="2"/>
        <v>55609.705600000001</v>
      </c>
      <c r="D32" s="14" t="str">
        <f t="shared" si="3"/>
        <v>vis</v>
      </c>
      <c r="E32" s="44">
        <f>VLOOKUP(C32,Active!C$21:E$973,3,FALSE)</f>
        <v>6214.9823466986945</v>
      </c>
      <c r="F32" s="18" t="s">
        <v>77</v>
      </c>
      <c r="G32" s="14" t="str">
        <f t="shared" si="4"/>
        <v>55609.7056</v>
      </c>
      <c r="H32" s="13">
        <f t="shared" si="5"/>
        <v>6215</v>
      </c>
      <c r="I32" s="45" t="s">
        <v>300</v>
      </c>
      <c r="J32" s="46" t="s">
        <v>301</v>
      </c>
      <c r="K32" s="45" t="s">
        <v>302</v>
      </c>
      <c r="L32" s="45" t="s">
        <v>303</v>
      </c>
      <c r="M32" s="46" t="s">
        <v>259</v>
      </c>
      <c r="N32" s="46" t="s">
        <v>77</v>
      </c>
      <c r="O32" s="47" t="s">
        <v>188</v>
      </c>
      <c r="P32" s="48" t="s">
        <v>304</v>
      </c>
    </row>
    <row r="33" spans="1:16" ht="12.75" customHeight="1" thickBot="1" x14ac:dyDescent="0.25">
      <c r="A33" s="13" t="str">
        <f t="shared" si="0"/>
        <v>BAVM 239 </v>
      </c>
      <c r="B33" s="18" t="str">
        <f t="shared" si="1"/>
        <v>I</v>
      </c>
      <c r="C33" s="13">
        <f t="shared" si="2"/>
        <v>57069.344799999999</v>
      </c>
      <c r="D33" s="14" t="str">
        <f t="shared" si="3"/>
        <v>vis</v>
      </c>
      <c r="E33" s="44">
        <f>VLOOKUP(C33,Active!C$21:E$973,3,FALSE)</f>
        <v>6692.9805768821288</v>
      </c>
      <c r="F33" s="18" t="s">
        <v>77</v>
      </c>
      <c r="G33" s="14" t="str">
        <f t="shared" si="4"/>
        <v>57069.3448</v>
      </c>
      <c r="H33" s="13">
        <f t="shared" si="5"/>
        <v>6693</v>
      </c>
      <c r="I33" s="45" t="s">
        <v>312</v>
      </c>
      <c r="J33" s="46" t="s">
        <v>313</v>
      </c>
      <c r="K33" s="45" t="s">
        <v>314</v>
      </c>
      <c r="L33" s="45" t="s">
        <v>315</v>
      </c>
      <c r="M33" s="46" t="s">
        <v>259</v>
      </c>
      <c r="N33" s="46" t="s">
        <v>260</v>
      </c>
      <c r="O33" s="47" t="s">
        <v>288</v>
      </c>
      <c r="P33" s="48" t="s">
        <v>316</v>
      </c>
    </row>
    <row r="34" spans="1:16" ht="12.75" customHeight="1" thickBot="1" x14ac:dyDescent="0.25">
      <c r="A34" s="13" t="str">
        <f t="shared" si="0"/>
        <v> BZ 16.30 </v>
      </c>
      <c r="B34" s="18" t="str">
        <f t="shared" si="1"/>
        <v>I</v>
      </c>
      <c r="C34" s="13">
        <f t="shared" si="2"/>
        <v>25641.170999999998</v>
      </c>
      <c r="D34" s="14" t="str">
        <f t="shared" si="3"/>
        <v>vis</v>
      </c>
      <c r="E34" s="44">
        <f>VLOOKUP(C34,Active!C$21:E$973,3,FALSE)</f>
        <v>-3599.0227170122789</v>
      </c>
      <c r="F34" s="18" t="s">
        <v>77</v>
      </c>
      <c r="G34" s="14" t="str">
        <f t="shared" si="4"/>
        <v>25641.171</v>
      </c>
      <c r="H34" s="13">
        <f t="shared" si="5"/>
        <v>-3599</v>
      </c>
      <c r="I34" s="45" t="s">
        <v>81</v>
      </c>
      <c r="J34" s="46" t="s">
        <v>82</v>
      </c>
      <c r="K34" s="45">
        <v>-3599</v>
      </c>
      <c r="L34" s="45" t="s">
        <v>83</v>
      </c>
      <c r="M34" s="46" t="s">
        <v>84</v>
      </c>
      <c r="N34" s="46"/>
      <c r="O34" s="47" t="s">
        <v>85</v>
      </c>
      <c r="P34" s="47" t="s">
        <v>86</v>
      </c>
    </row>
    <row r="35" spans="1:16" ht="12.75" customHeight="1" thickBot="1" x14ac:dyDescent="0.25">
      <c r="A35" s="13" t="str">
        <f t="shared" si="0"/>
        <v> AN 251.327 </v>
      </c>
      <c r="B35" s="18" t="str">
        <f t="shared" si="1"/>
        <v>I</v>
      </c>
      <c r="C35" s="13">
        <f t="shared" si="2"/>
        <v>27366.577000000001</v>
      </c>
      <c r="D35" s="14" t="str">
        <f t="shared" si="3"/>
        <v>vis</v>
      </c>
      <c r="E35" s="44">
        <f>VLOOKUP(C35,Active!C$21:E$973,3,FALSE)</f>
        <v>-3033.9919790409494</v>
      </c>
      <c r="F35" s="18" t="s">
        <v>77</v>
      </c>
      <c r="G35" s="14" t="str">
        <f t="shared" si="4"/>
        <v>27366.577</v>
      </c>
      <c r="H35" s="13">
        <f t="shared" si="5"/>
        <v>-3034</v>
      </c>
      <c r="I35" s="45" t="s">
        <v>87</v>
      </c>
      <c r="J35" s="46" t="s">
        <v>88</v>
      </c>
      <c r="K35" s="45">
        <v>-3034</v>
      </c>
      <c r="L35" s="45" t="s">
        <v>89</v>
      </c>
      <c r="M35" s="46" t="s">
        <v>84</v>
      </c>
      <c r="N35" s="46"/>
      <c r="O35" s="47" t="s">
        <v>90</v>
      </c>
      <c r="P35" s="47" t="s">
        <v>91</v>
      </c>
    </row>
    <row r="36" spans="1:16" ht="12.75" customHeight="1" thickBot="1" x14ac:dyDescent="0.25">
      <c r="A36" s="13" t="str">
        <f t="shared" si="0"/>
        <v> AN 251.327 </v>
      </c>
      <c r="B36" s="18" t="str">
        <f t="shared" si="1"/>
        <v>I</v>
      </c>
      <c r="C36" s="13">
        <f t="shared" si="2"/>
        <v>27369.539000000001</v>
      </c>
      <c r="D36" s="14" t="str">
        <f t="shared" si="3"/>
        <v>vis</v>
      </c>
      <c r="E36" s="44">
        <f>VLOOKUP(C36,Active!C$21:E$973,3,FALSE)</f>
        <v>-3033.0219922402366</v>
      </c>
      <c r="F36" s="18" t="s">
        <v>77</v>
      </c>
      <c r="G36" s="14" t="str">
        <f t="shared" si="4"/>
        <v>27369.539</v>
      </c>
      <c r="H36" s="13">
        <f t="shared" si="5"/>
        <v>-3033</v>
      </c>
      <c r="I36" s="45" t="s">
        <v>92</v>
      </c>
      <c r="J36" s="46" t="s">
        <v>93</v>
      </c>
      <c r="K36" s="45">
        <v>-3033</v>
      </c>
      <c r="L36" s="45" t="s">
        <v>94</v>
      </c>
      <c r="M36" s="46" t="s">
        <v>84</v>
      </c>
      <c r="N36" s="46"/>
      <c r="O36" s="47" t="s">
        <v>90</v>
      </c>
      <c r="P36" s="47" t="s">
        <v>91</v>
      </c>
    </row>
    <row r="37" spans="1:16" ht="12.75" customHeight="1" thickBot="1" x14ac:dyDescent="0.25">
      <c r="A37" s="13" t="str">
        <f t="shared" si="0"/>
        <v> CTAD 8 </v>
      </c>
      <c r="B37" s="18" t="str">
        <f t="shared" si="1"/>
        <v>I</v>
      </c>
      <c r="C37" s="13">
        <f t="shared" si="2"/>
        <v>27910.129000000001</v>
      </c>
      <c r="D37" s="14" t="str">
        <f t="shared" si="3"/>
        <v>vis</v>
      </c>
      <c r="E37" s="44">
        <f>VLOOKUP(C37,Active!C$21:E$973,3,FALSE)</f>
        <v>-2855.9912141857262</v>
      </c>
      <c r="F37" s="18" t="s">
        <v>77</v>
      </c>
      <c r="G37" s="14" t="str">
        <f t="shared" si="4"/>
        <v>27910.129</v>
      </c>
      <c r="H37" s="13">
        <f t="shared" si="5"/>
        <v>-2856</v>
      </c>
      <c r="I37" s="45" t="s">
        <v>95</v>
      </c>
      <c r="J37" s="46" t="s">
        <v>96</v>
      </c>
      <c r="K37" s="45">
        <v>-2856</v>
      </c>
      <c r="L37" s="45" t="s">
        <v>97</v>
      </c>
      <c r="M37" s="46" t="s">
        <v>98</v>
      </c>
      <c r="N37" s="46"/>
      <c r="O37" s="47" t="s">
        <v>99</v>
      </c>
      <c r="P37" s="47" t="s">
        <v>100</v>
      </c>
    </row>
    <row r="38" spans="1:16" ht="12.75" customHeight="1" thickBot="1" x14ac:dyDescent="0.25">
      <c r="A38" s="13" t="str">
        <f t="shared" si="0"/>
        <v> CTAD 8 </v>
      </c>
      <c r="B38" s="18" t="str">
        <f t="shared" si="1"/>
        <v>I</v>
      </c>
      <c r="C38" s="13">
        <f t="shared" si="2"/>
        <v>27913.184000000001</v>
      </c>
      <c r="D38" s="14" t="str">
        <f t="shared" si="3"/>
        <v>vis</v>
      </c>
      <c r="E38" s="44">
        <f>VLOOKUP(C38,Active!C$21:E$973,3,FALSE)</f>
        <v>-2854.9907720263141</v>
      </c>
      <c r="F38" s="18" t="s">
        <v>77</v>
      </c>
      <c r="G38" s="14" t="str">
        <f t="shared" si="4"/>
        <v>27913.184</v>
      </c>
      <c r="H38" s="13">
        <f t="shared" si="5"/>
        <v>-2855</v>
      </c>
      <c r="I38" s="45" t="s">
        <v>101</v>
      </c>
      <c r="J38" s="46" t="s">
        <v>102</v>
      </c>
      <c r="K38" s="45">
        <v>-2855</v>
      </c>
      <c r="L38" s="45" t="s">
        <v>103</v>
      </c>
      <c r="M38" s="46" t="s">
        <v>98</v>
      </c>
      <c r="N38" s="46"/>
      <c r="O38" s="47" t="s">
        <v>99</v>
      </c>
      <c r="P38" s="47" t="s">
        <v>100</v>
      </c>
    </row>
    <row r="39" spans="1:16" ht="12.75" customHeight="1" thickBot="1" x14ac:dyDescent="0.25">
      <c r="A39" s="13" t="str">
        <f t="shared" si="0"/>
        <v> PZ 5.173 </v>
      </c>
      <c r="B39" s="18" t="str">
        <f t="shared" si="1"/>
        <v>I</v>
      </c>
      <c r="C39" s="13">
        <f t="shared" si="2"/>
        <v>27916.213</v>
      </c>
      <c r="D39" s="14" t="str">
        <f t="shared" si="3"/>
        <v>vis</v>
      </c>
      <c r="E39" s="44">
        <f>VLOOKUP(C39,Active!C$21:E$973,3,FALSE)</f>
        <v>-2853.9988442682593</v>
      </c>
      <c r="F39" s="18" t="s">
        <v>77</v>
      </c>
      <c r="G39" s="14" t="str">
        <f t="shared" si="4"/>
        <v>27916.213</v>
      </c>
      <c r="H39" s="13">
        <f t="shared" si="5"/>
        <v>-2854</v>
      </c>
      <c r="I39" s="45" t="s">
        <v>104</v>
      </c>
      <c r="J39" s="46" t="s">
        <v>105</v>
      </c>
      <c r="K39" s="45">
        <v>-2854</v>
      </c>
      <c r="L39" s="45" t="s">
        <v>106</v>
      </c>
      <c r="M39" s="46" t="s">
        <v>98</v>
      </c>
      <c r="N39" s="46"/>
      <c r="O39" s="47" t="s">
        <v>99</v>
      </c>
      <c r="P39" s="47" t="s">
        <v>107</v>
      </c>
    </row>
    <row r="40" spans="1:16" ht="12.75" customHeight="1" thickBot="1" x14ac:dyDescent="0.25">
      <c r="A40" s="13" t="str">
        <f t="shared" si="0"/>
        <v> PZ 5.173 </v>
      </c>
      <c r="B40" s="18" t="str">
        <f t="shared" si="1"/>
        <v>I</v>
      </c>
      <c r="C40" s="13">
        <f t="shared" si="2"/>
        <v>28258.228999999999</v>
      </c>
      <c r="D40" s="14" t="str">
        <f t="shared" si="3"/>
        <v>vis</v>
      </c>
      <c r="E40" s="44">
        <f>VLOOKUP(C40,Active!C$21:E$973,3,FALSE)</f>
        <v>-2741.9964790985532</v>
      </c>
      <c r="F40" s="18" t="s">
        <v>77</v>
      </c>
      <c r="G40" s="14" t="str">
        <f t="shared" si="4"/>
        <v>28258.229</v>
      </c>
      <c r="H40" s="13">
        <f t="shared" si="5"/>
        <v>-2742</v>
      </c>
      <c r="I40" s="45" t="s">
        <v>108</v>
      </c>
      <c r="J40" s="46" t="s">
        <v>109</v>
      </c>
      <c r="K40" s="45">
        <v>-2742</v>
      </c>
      <c r="L40" s="45" t="s">
        <v>110</v>
      </c>
      <c r="M40" s="46" t="s">
        <v>98</v>
      </c>
      <c r="N40" s="46"/>
      <c r="O40" s="47" t="s">
        <v>99</v>
      </c>
      <c r="P40" s="47" t="s">
        <v>107</v>
      </c>
    </row>
    <row r="41" spans="1:16" ht="12.75" customHeight="1" thickBot="1" x14ac:dyDescent="0.25">
      <c r="A41" s="13" t="str">
        <f t="shared" si="0"/>
        <v> PZ 5.173 </v>
      </c>
      <c r="B41" s="18" t="str">
        <f t="shared" si="1"/>
        <v>I</v>
      </c>
      <c r="C41" s="13">
        <f t="shared" si="2"/>
        <v>28487.261999999999</v>
      </c>
      <c r="D41" s="14" t="str">
        <f t="shared" si="3"/>
        <v>vis</v>
      </c>
      <c r="E41" s="44">
        <f>VLOOKUP(C41,Active!C$21:E$973,3,FALSE)</f>
        <v>-2666.9934450243777</v>
      </c>
      <c r="F41" s="18" t="s">
        <v>77</v>
      </c>
      <c r="G41" s="14" t="str">
        <f t="shared" si="4"/>
        <v>28487.262</v>
      </c>
      <c r="H41" s="13">
        <f t="shared" si="5"/>
        <v>-2667</v>
      </c>
      <c r="I41" s="45" t="s">
        <v>111</v>
      </c>
      <c r="J41" s="46" t="s">
        <v>112</v>
      </c>
      <c r="K41" s="45">
        <v>-2667</v>
      </c>
      <c r="L41" s="45" t="s">
        <v>113</v>
      </c>
      <c r="M41" s="46" t="s">
        <v>98</v>
      </c>
      <c r="N41" s="46"/>
      <c r="O41" s="47" t="s">
        <v>99</v>
      </c>
      <c r="P41" s="47" t="s">
        <v>107</v>
      </c>
    </row>
    <row r="42" spans="1:16" ht="12.75" customHeight="1" thickBot="1" x14ac:dyDescent="0.25">
      <c r="A42" s="13" t="str">
        <f t="shared" si="0"/>
        <v> HA 113.74 </v>
      </c>
      <c r="B42" s="18" t="str">
        <f t="shared" si="1"/>
        <v>II</v>
      </c>
      <c r="C42" s="13">
        <f t="shared" si="2"/>
        <v>29786.537</v>
      </c>
      <c r="D42" s="14" t="str">
        <f t="shared" si="3"/>
        <v>vis</v>
      </c>
      <c r="E42" s="44">
        <f>VLOOKUP(C42,Active!C$21:E$973,3,FALSE)</f>
        <v>-2241.5107979965483</v>
      </c>
      <c r="F42" s="18" t="s">
        <v>77</v>
      </c>
      <c r="G42" s="14" t="str">
        <f t="shared" si="4"/>
        <v>29786.537</v>
      </c>
      <c r="H42" s="13">
        <f t="shared" si="5"/>
        <v>-2241.5</v>
      </c>
      <c r="I42" s="45" t="s">
        <v>114</v>
      </c>
      <c r="J42" s="46" t="s">
        <v>115</v>
      </c>
      <c r="K42" s="45">
        <v>-2241.5</v>
      </c>
      <c r="L42" s="45" t="s">
        <v>116</v>
      </c>
      <c r="M42" s="46" t="s">
        <v>80</v>
      </c>
      <c r="N42" s="46"/>
      <c r="O42" s="47" t="s">
        <v>117</v>
      </c>
      <c r="P42" s="47" t="s">
        <v>118</v>
      </c>
    </row>
    <row r="43" spans="1:16" ht="12.75" customHeight="1" thickBot="1" x14ac:dyDescent="0.25">
      <c r="A43" s="13" t="str">
        <f t="shared" ref="A43:A65" si="6">P43</f>
        <v> AAC 5.8 </v>
      </c>
      <c r="B43" s="18" t="str">
        <f t="shared" ref="B43:B65" si="7">IF(H43=INT(H43),"I","II")</f>
        <v>I</v>
      </c>
      <c r="C43" s="13">
        <f t="shared" ref="C43:C65" si="8">1*G43</f>
        <v>32985.322999999997</v>
      </c>
      <c r="D43" s="14" t="str">
        <f t="shared" ref="D43:D65" si="9">VLOOKUP(F43,I$1:J$5,2,FALSE)</f>
        <v>vis</v>
      </c>
      <c r="E43" s="44">
        <f>VLOOKUP(C43,Active!C$21:E$973,3,FALSE)</f>
        <v>-1193.9820342201663</v>
      </c>
      <c r="F43" s="18" t="s">
        <v>77</v>
      </c>
      <c r="G43" s="14" t="str">
        <f t="shared" ref="G43:G65" si="10">MID(I43,3,LEN(I43)-3)</f>
        <v>32985.323</v>
      </c>
      <c r="H43" s="13">
        <f t="shared" ref="H43:H65" si="11">1*K43</f>
        <v>-1194</v>
      </c>
      <c r="I43" s="45" t="s">
        <v>119</v>
      </c>
      <c r="J43" s="46" t="s">
        <v>120</v>
      </c>
      <c r="K43" s="45">
        <v>-1194</v>
      </c>
      <c r="L43" s="45" t="s">
        <v>121</v>
      </c>
      <c r="M43" s="46" t="s">
        <v>98</v>
      </c>
      <c r="N43" s="46"/>
      <c r="O43" s="47" t="s">
        <v>122</v>
      </c>
      <c r="P43" s="47" t="s">
        <v>123</v>
      </c>
    </row>
    <row r="44" spans="1:16" ht="12.75" customHeight="1" thickBot="1" x14ac:dyDescent="0.25">
      <c r="A44" s="13" t="str">
        <f t="shared" si="6"/>
        <v> AAC 5.8 </v>
      </c>
      <c r="B44" s="18" t="str">
        <f t="shared" si="7"/>
        <v>I</v>
      </c>
      <c r="C44" s="13">
        <f t="shared" si="8"/>
        <v>33385.298999999999</v>
      </c>
      <c r="D44" s="14" t="str">
        <f t="shared" si="9"/>
        <v>vis</v>
      </c>
      <c r="E44" s="44">
        <f>VLOOKUP(C44,Active!C$21:E$973,3,FALSE)</f>
        <v>-1062.9991035645285</v>
      </c>
      <c r="F44" s="18" t="s">
        <v>77</v>
      </c>
      <c r="G44" s="14" t="str">
        <f t="shared" si="10"/>
        <v>33385.299</v>
      </c>
      <c r="H44" s="13">
        <f t="shared" si="11"/>
        <v>-1063</v>
      </c>
      <c r="I44" s="45" t="s">
        <v>124</v>
      </c>
      <c r="J44" s="46" t="s">
        <v>125</v>
      </c>
      <c r="K44" s="45">
        <v>-1063</v>
      </c>
      <c r="L44" s="45" t="s">
        <v>126</v>
      </c>
      <c r="M44" s="46" t="s">
        <v>98</v>
      </c>
      <c r="N44" s="46"/>
      <c r="O44" s="47" t="s">
        <v>122</v>
      </c>
      <c r="P44" s="47" t="s">
        <v>123</v>
      </c>
    </row>
    <row r="45" spans="1:16" ht="12.75" customHeight="1" thickBot="1" x14ac:dyDescent="0.25">
      <c r="A45" s="13" t="str">
        <f t="shared" si="6"/>
        <v> AAC 5.11 </v>
      </c>
      <c r="B45" s="18" t="str">
        <f t="shared" si="7"/>
        <v>I</v>
      </c>
      <c r="C45" s="13">
        <f t="shared" si="8"/>
        <v>33568.544999999998</v>
      </c>
      <c r="D45" s="14" t="str">
        <f t="shared" si="9"/>
        <v>vis</v>
      </c>
      <c r="E45" s="44">
        <f>VLOOKUP(C45,Active!C$21:E$973,3,FALSE)</f>
        <v>-1002.9902577564732</v>
      </c>
      <c r="F45" s="18" t="s">
        <v>77</v>
      </c>
      <c r="G45" s="14" t="str">
        <f t="shared" si="10"/>
        <v>33568.545</v>
      </c>
      <c r="H45" s="13">
        <f t="shared" si="11"/>
        <v>-1003</v>
      </c>
      <c r="I45" s="45" t="s">
        <v>127</v>
      </c>
      <c r="J45" s="46" t="s">
        <v>128</v>
      </c>
      <c r="K45" s="45">
        <v>-1003</v>
      </c>
      <c r="L45" s="45" t="s">
        <v>129</v>
      </c>
      <c r="M45" s="46" t="s">
        <v>98</v>
      </c>
      <c r="N45" s="46"/>
      <c r="O45" s="47" t="s">
        <v>122</v>
      </c>
      <c r="P45" s="47" t="s">
        <v>130</v>
      </c>
    </row>
    <row r="46" spans="1:16" ht="12.75" customHeight="1" thickBot="1" x14ac:dyDescent="0.25">
      <c r="A46" s="13" t="str">
        <f t="shared" si="6"/>
        <v> AAC 5.190 </v>
      </c>
      <c r="B46" s="18" t="str">
        <f t="shared" si="7"/>
        <v>I</v>
      </c>
      <c r="C46" s="13">
        <f t="shared" si="8"/>
        <v>34698.381000000001</v>
      </c>
      <c r="D46" s="14" t="str">
        <f t="shared" si="9"/>
        <v>vis</v>
      </c>
      <c r="E46" s="44">
        <f>VLOOKUP(C46,Active!C$21:E$973,3,FALSE)</f>
        <v>-632.9949819393172</v>
      </c>
      <c r="F46" s="18" t="s">
        <v>77</v>
      </c>
      <c r="G46" s="14" t="str">
        <f t="shared" si="10"/>
        <v>34698.381</v>
      </c>
      <c r="H46" s="13">
        <f t="shared" si="11"/>
        <v>-633</v>
      </c>
      <c r="I46" s="45" t="s">
        <v>131</v>
      </c>
      <c r="J46" s="46" t="s">
        <v>132</v>
      </c>
      <c r="K46" s="45">
        <v>-633</v>
      </c>
      <c r="L46" s="45" t="s">
        <v>133</v>
      </c>
      <c r="M46" s="46" t="s">
        <v>98</v>
      </c>
      <c r="N46" s="46"/>
      <c r="O46" s="47" t="s">
        <v>122</v>
      </c>
      <c r="P46" s="47" t="s">
        <v>134</v>
      </c>
    </row>
    <row r="47" spans="1:16" ht="12.75" customHeight="1" thickBot="1" x14ac:dyDescent="0.25">
      <c r="A47" s="13" t="str">
        <f t="shared" si="6"/>
        <v> AJ 64.261 </v>
      </c>
      <c r="B47" s="18" t="str">
        <f t="shared" si="7"/>
        <v>I</v>
      </c>
      <c r="C47" s="13">
        <f t="shared" si="8"/>
        <v>35165.572999999997</v>
      </c>
      <c r="D47" s="14" t="str">
        <f t="shared" si="9"/>
        <v>vis</v>
      </c>
      <c r="E47" s="44">
        <f>VLOOKUP(C47,Active!C$21:E$973,3,FALSE)</f>
        <v>-480.00035891476625</v>
      </c>
      <c r="F47" s="18" t="s">
        <v>77</v>
      </c>
      <c r="G47" s="14" t="str">
        <f t="shared" si="10"/>
        <v>35165.573</v>
      </c>
      <c r="H47" s="13">
        <f t="shared" si="11"/>
        <v>-480</v>
      </c>
      <c r="I47" s="45" t="s">
        <v>135</v>
      </c>
      <c r="J47" s="46" t="s">
        <v>136</v>
      </c>
      <c r="K47" s="45">
        <v>-480</v>
      </c>
      <c r="L47" s="45" t="s">
        <v>137</v>
      </c>
      <c r="M47" s="46" t="s">
        <v>80</v>
      </c>
      <c r="N47" s="46"/>
      <c r="O47" s="47" t="s">
        <v>138</v>
      </c>
      <c r="P47" s="47" t="s">
        <v>139</v>
      </c>
    </row>
    <row r="48" spans="1:16" ht="12.75" customHeight="1" thickBot="1" x14ac:dyDescent="0.25">
      <c r="A48" s="13" t="str">
        <f t="shared" si="6"/>
        <v> AJ 64.261 </v>
      </c>
      <c r="B48" s="18" t="str">
        <f t="shared" si="7"/>
        <v>I</v>
      </c>
      <c r="C48" s="13">
        <f t="shared" si="8"/>
        <v>35510.637999999999</v>
      </c>
      <c r="D48" s="14" t="str">
        <f t="shared" si="9"/>
        <v>vis</v>
      </c>
      <c r="E48" s="44">
        <f>VLOOKUP(C48,Active!C$21:E$973,3,FALSE)</f>
        <v>-366.99951644749893</v>
      </c>
      <c r="F48" s="18" t="s">
        <v>77</v>
      </c>
      <c r="G48" s="14" t="str">
        <f t="shared" si="10"/>
        <v>35510.638</v>
      </c>
      <c r="H48" s="13">
        <f t="shared" si="11"/>
        <v>-367</v>
      </c>
      <c r="I48" s="45" t="s">
        <v>140</v>
      </c>
      <c r="J48" s="46" t="s">
        <v>141</v>
      </c>
      <c r="K48" s="45">
        <v>-367</v>
      </c>
      <c r="L48" s="45" t="s">
        <v>142</v>
      </c>
      <c r="M48" s="46" t="s">
        <v>80</v>
      </c>
      <c r="N48" s="46"/>
      <c r="O48" s="47" t="s">
        <v>138</v>
      </c>
      <c r="P48" s="47" t="s">
        <v>139</v>
      </c>
    </row>
    <row r="49" spans="1:16" ht="12.75" customHeight="1" thickBot="1" x14ac:dyDescent="0.25">
      <c r="A49" s="13" t="str">
        <f t="shared" si="6"/>
        <v> AJ 64.261 </v>
      </c>
      <c r="B49" s="18" t="str">
        <f t="shared" si="7"/>
        <v>I</v>
      </c>
      <c r="C49" s="13">
        <f t="shared" si="8"/>
        <v>35571.703999999998</v>
      </c>
      <c r="D49" s="14" t="str">
        <f t="shared" si="9"/>
        <v>vis</v>
      </c>
      <c r="E49" s="44">
        <f>VLOOKUP(C49,Active!C$21:E$973,3,FALSE)</f>
        <v>-347.00180747641821</v>
      </c>
      <c r="F49" s="18" t="s">
        <v>77</v>
      </c>
      <c r="G49" s="14" t="str">
        <f t="shared" si="10"/>
        <v>35571.704</v>
      </c>
      <c r="H49" s="13">
        <f t="shared" si="11"/>
        <v>-347</v>
      </c>
      <c r="I49" s="45" t="s">
        <v>143</v>
      </c>
      <c r="J49" s="46" t="s">
        <v>144</v>
      </c>
      <c r="K49" s="45">
        <v>-347</v>
      </c>
      <c r="L49" s="45" t="s">
        <v>145</v>
      </c>
      <c r="M49" s="46" t="s">
        <v>80</v>
      </c>
      <c r="N49" s="46"/>
      <c r="O49" s="47" t="s">
        <v>138</v>
      </c>
      <c r="P49" s="47" t="s">
        <v>139</v>
      </c>
    </row>
    <row r="50" spans="1:16" ht="12.75" customHeight="1" thickBot="1" x14ac:dyDescent="0.25">
      <c r="A50" s="13" t="str">
        <f t="shared" si="6"/>
        <v> MVS 2.123 </v>
      </c>
      <c r="B50" s="18" t="str">
        <f t="shared" si="7"/>
        <v>I</v>
      </c>
      <c r="C50" s="13">
        <f t="shared" si="8"/>
        <v>35892.341999999997</v>
      </c>
      <c r="D50" s="14" t="str">
        <f t="shared" si="9"/>
        <v>vis</v>
      </c>
      <c r="E50" s="44">
        <f>VLOOKUP(C50,Active!C$21:E$973,3,FALSE)</f>
        <v>-242.00024508376958</v>
      </c>
      <c r="F50" s="18" t="s">
        <v>77</v>
      </c>
      <c r="G50" s="14" t="str">
        <f t="shared" si="10"/>
        <v>35892.342</v>
      </c>
      <c r="H50" s="13">
        <f t="shared" si="11"/>
        <v>-242</v>
      </c>
      <c r="I50" s="45" t="s">
        <v>146</v>
      </c>
      <c r="J50" s="46" t="s">
        <v>147</v>
      </c>
      <c r="K50" s="45">
        <v>-242</v>
      </c>
      <c r="L50" s="45" t="s">
        <v>137</v>
      </c>
      <c r="M50" s="46" t="s">
        <v>84</v>
      </c>
      <c r="N50" s="46"/>
      <c r="O50" s="47" t="s">
        <v>148</v>
      </c>
      <c r="P50" s="47" t="s">
        <v>149</v>
      </c>
    </row>
    <row r="51" spans="1:16" ht="12.75" customHeight="1" thickBot="1" x14ac:dyDescent="0.25">
      <c r="A51" s="13" t="str">
        <f t="shared" si="6"/>
        <v> AA 8.190 </v>
      </c>
      <c r="B51" s="18" t="str">
        <f t="shared" si="7"/>
        <v>I</v>
      </c>
      <c r="C51" s="13">
        <f t="shared" si="8"/>
        <v>36130.557999999997</v>
      </c>
      <c r="D51" s="14" t="str">
        <f t="shared" si="9"/>
        <v>vis</v>
      </c>
      <c r="E51" s="44">
        <f>VLOOKUP(C51,Active!C$21:E$973,3,FALSE)</f>
        <v>-163.9899899458031</v>
      </c>
      <c r="F51" s="18" t="s">
        <v>77</v>
      </c>
      <c r="G51" s="14" t="str">
        <f t="shared" si="10"/>
        <v>36130.558</v>
      </c>
      <c r="H51" s="13">
        <f t="shared" si="11"/>
        <v>-164</v>
      </c>
      <c r="I51" s="45" t="s">
        <v>150</v>
      </c>
      <c r="J51" s="46" t="s">
        <v>151</v>
      </c>
      <c r="K51" s="45">
        <v>-164</v>
      </c>
      <c r="L51" s="45" t="s">
        <v>152</v>
      </c>
      <c r="M51" s="46" t="s">
        <v>98</v>
      </c>
      <c r="N51" s="46"/>
      <c r="O51" s="47" t="s">
        <v>122</v>
      </c>
      <c r="P51" s="47" t="s">
        <v>153</v>
      </c>
    </row>
    <row r="52" spans="1:16" ht="12.75" customHeight="1" thickBot="1" x14ac:dyDescent="0.25">
      <c r="A52" s="13" t="str">
        <f t="shared" si="6"/>
        <v> AJ 64.261 </v>
      </c>
      <c r="B52" s="18" t="str">
        <f t="shared" si="7"/>
        <v>I</v>
      </c>
      <c r="C52" s="13">
        <f t="shared" si="8"/>
        <v>36194.663999999997</v>
      </c>
      <c r="D52" s="14" t="str">
        <f t="shared" si="9"/>
        <v>vis</v>
      </c>
      <c r="E52" s="44">
        <f>VLOOKUP(C52,Active!C$21:E$973,3,FALSE)</f>
        <v>-142.99675096993894</v>
      </c>
      <c r="F52" s="18" t="s">
        <v>77</v>
      </c>
      <c r="G52" s="14" t="str">
        <f t="shared" si="10"/>
        <v>36194.664</v>
      </c>
      <c r="H52" s="13">
        <f t="shared" si="11"/>
        <v>-143</v>
      </c>
      <c r="I52" s="45" t="s">
        <v>154</v>
      </c>
      <c r="J52" s="46" t="s">
        <v>155</v>
      </c>
      <c r="K52" s="45">
        <v>-143</v>
      </c>
      <c r="L52" s="45" t="s">
        <v>156</v>
      </c>
      <c r="M52" s="46" t="s">
        <v>80</v>
      </c>
      <c r="N52" s="46"/>
      <c r="O52" s="47" t="s">
        <v>138</v>
      </c>
      <c r="P52" s="47" t="s">
        <v>139</v>
      </c>
    </row>
    <row r="53" spans="1:16" ht="12.75" customHeight="1" thickBot="1" x14ac:dyDescent="0.25">
      <c r="A53" s="13" t="str">
        <f t="shared" si="6"/>
        <v> AJ 64.261 </v>
      </c>
      <c r="B53" s="18" t="str">
        <f t="shared" si="7"/>
        <v>I</v>
      </c>
      <c r="C53" s="13">
        <f t="shared" si="8"/>
        <v>36249.608</v>
      </c>
      <c r="D53" s="14" t="str">
        <f t="shared" si="9"/>
        <v>vis</v>
      </c>
      <c r="E53" s="44">
        <f>VLOOKUP(C53,Active!C$21:E$973,3,FALSE)</f>
        <v>-125.0038560413839</v>
      </c>
      <c r="F53" s="18" t="s">
        <v>77</v>
      </c>
      <c r="G53" s="14" t="str">
        <f t="shared" si="10"/>
        <v>36249.608</v>
      </c>
      <c r="H53" s="13">
        <f t="shared" si="11"/>
        <v>-125</v>
      </c>
      <c r="I53" s="45" t="s">
        <v>157</v>
      </c>
      <c r="J53" s="46" t="s">
        <v>158</v>
      </c>
      <c r="K53" s="45">
        <v>-125</v>
      </c>
      <c r="L53" s="45" t="s">
        <v>159</v>
      </c>
      <c r="M53" s="46" t="s">
        <v>80</v>
      </c>
      <c r="N53" s="46"/>
      <c r="O53" s="47" t="s">
        <v>138</v>
      </c>
      <c r="P53" s="47" t="s">
        <v>139</v>
      </c>
    </row>
    <row r="54" spans="1:16" ht="12.75" customHeight="1" thickBot="1" x14ac:dyDescent="0.25">
      <c r="A54" s="13" t="str">
        <f t="shared" si="6"/>
        <v> MVS 2.123 </v>
      </c>
      <c r="B54" s="18" t="str">
        <f t="shared" si="7"/>
        <v>I</v>
      </c>
      <c r="C54" s="13">
        <f t="shared" si="8"/>
        <v>36982.453999999998</v>
      </c>
      <c r="D54" s="14" t="str">
        <f t="shared" si="9"/>
        <v>vis</v>
      </c>
      <c r="E54" s="44">
        <f>VLOOKUP(C54,Active!C$21:E$973,3,FALSE)</f>
        <v>114.98633536825243</v>
      </c>
      <c r="F54" s="18" t="s">
        <v>77</v>
      </c>
      <c r="G54" s="14" t="str">
        <f t="shared" si="10"/>
        <v>36982.454</v>
      </c>
      <c r="H54" s="13">
        <f t="shared" si="11"/>
        <v>115</v>
      </c>
      <c r="I54" s="45" t="s">
        <v>164</v>
      </c>
      <c r="J54" s="46" t="s">
        <v>165</v>
      </c>
      <c r="K54" s="45">
        <v>115</v>
      </c>
      <c r="L54" s="45" t="s">
        <v>166</v>
      </c>
      <c r="M54" s="46" t="s">
        <v>84</v>
      </c>
      <c r="N54" s="46"/>
      <c r="O54" s="47" t="s">
        <v>148</v>
      </c>
      <c r="P54" s="47" t="s">
        <v>149</v>
      </c>
    </row>
    <row r="55" spans="1:16" ht="12.75" customHeight="1" thickBot="1" x14ac:dyDescent="0.25">
      <c r="A55" s="13" t="str">
        <f t="shared" si="6"/>
        <v> HABZ 92 </v>
      </c>
      <c r="B55" s="18" t="str">
        <f t="shared" si="7"/>
        <v>I</v>
      </c>
      <c r="C55" s="13">
        <f t="shared" si="8"/>
        <v>37367.302000000003</v>
      </c>
      <c r="D55" s="14" t="str">
        <f t="shared" si="9"/>
        <v>vis</v>
      </c>
      <c r="E55" s="44">
        <f>VLOOKUP(C55,Active!C$21:E$973,3,FALSE)</f>
        <v>241.01519434219418</v>
      </c>
      <c r="F55" s="18" t="s">
        <v>77</v>
      </c>
      <c r="G55" s="14" t="str">
        <f t="shared" si="10"/>
        <v>37367.302</v>
      </c>
      <c r="H55" s="13">
        <f t="shared" si="11"/>
        <v>241</v>
      </c>
      <c r="I55" s="45" t="s">
        <v>167</v>
      </c>
      <c r="J55" s="46" t="s">
        <v>168</v>
      </c>
      <c r="K55" s="45">
        <v>241</v>
      </c>
      <c r="L55" s="45" t="s">
        <v>169</v>
      </c>
      <c r="M55" s="46" t="s">
        <v>84</v>
      </c>
      <c r="N55" s="46"/>
      <c r="O55" s="47" t="s">
        <v>170</v>
      </c>
      <c r="P55" s="47" t="s">
        <v>171</v>
      </c>
    </row>
    <row r="56" spans="1:16" ht="12.75" customHeight="1" thickBot="1" x14ac:dyDescent="0.25">
      <c r="A56" s="13" t="str">
        <f t="shared" si="6"/>
        <v> HABZ 92 </v>
      </c>
      <c r="B56" s="18" t="str">
        <f t="shared" si="7"/>
        <v>I</v>
      </c>
      <c r="C56" s="13">
        <f t="shared" si="8"/>
        <v>38002.406000000003</v>
      </c>
      <c r="D56" s="14" t="str">
        <f t="shared" si="9"/>
        <v>vis</v>
      </c>
      <c r="E56" s="44">
        <f>VLOOKUP(C56,Active!C$21:E$973,3,FALSE)</f>
        <v>448.99713123620188</v>
      </c>
      <c r="F56" s="18" t="s">
        <v>77</v>
      </c>
      <c r="G56" s="14" t="str">
        <f t="shared" si="10"/>
        <v>38002.406</v>
      </c>
      <c r="H56" s="13">
        <f t="shared" si="11"/>
        <v>449</v>
      </c>
      <c r="I56" s="45" t="s">
        <v>172</v>
      </c>
      <c r="J56" s="46" t="s">
        <v>173</v>
      </c>
      <c r="K56" s="45">
        <v>449</v>
      </c>
      <c r="L56" s="45" t="s">
        <v>174</v>
      </c>
      <c r="M56" s="46" t="s">
        <v>84</v>
      </c>
      <c r="N56" s="46"/>
      <c r="O56" s="47" t="s">
        <v>170</v>
      </c>
      <c r="P56" s="47" t="s">
        <v>171</v>
      </c>
    </row>
    <row r="57" spans="1:16" ht="12.75" customHeight="1" thickBot="1" x14ac:dyDescent="0.25">
      <c r="A57" s="13" t="str">
        <f t="shared" si="6"/>
        <v> HABZ 92 </v>
      </c>
      <c r="B57" s="18" t="str">
        <f t="shared" si="7"/>
        <v>I</v>
      </c>
      <c r="C57" s="13">
        <f t="shared" si="8"/>
        <v>38399.375</v>
      </c>
      <c r="D57" s="14" t="str">
        <f t="shared" si="9"/>
        <v>vis</v>
      </c>
      <c r="E57" s="44">
        <f>VLOOKUP(C57,Active!C$21:E$973,3,FALSE)</f>
        <v>578.99533862723843</v>
      </c>
      <c r="F57" s="18" t="s">
        <v>77</v>
      </c>
      <c r="G57" s="14" t="str">
        <f t="shared" si="10"/>
        <v>38399.375</v>
      </c>
      <c r="H57" s="13">
        <f t="shared" si="11"/>
        <v>579</v>
      </c>
      <c r="I57" s="45" t="s">
        <v>175</v>
      </c>
      <c r="J57" s="46" t="s">
        <v>176</v>
      </c>
      <c r="K57" s="45">
        <v>579</v>
      </c>
      <c r="L57" s="45" t="s">
        <v>177</v>
      </c>
      <c r="M57" s="46" t="s">
        <v>84</v>
      </c>
      <c r="N57" s="46"/>
      <c r="O57" s="47" t="s">
        <v>170</v>
      </c>
      <c r="P57" s="47" t="s">
        <v>171</v>
      </c>
    </row>
    <row r="58" spans="1:16" ht="12.75" customHeight="1" thickBot="1" x14ac:dyDescent="0.25">
      <c r="A58" s="13" t="str">
        <f t="shared" si="6"/>
        <v> HABZ 92 </v>
      </c>
      <c r="B58" s="18" t="str">
        <f t="shared" si="7"/>
        <v>I</v>
      </c>
      <c r="C58" s="13">
        <f t="shared" si="8"/>
        <v>39535.347000000002</v>
      </c>
      <c r="D58" s="14" t="str">
        <f t="shared" si="9"/>
        <v>vis</v>
      </c>
      <c r="E58" s="44">
        <f>VLOOKUP(C58,Active!C$21:E$973,3,FALSE)</f>
        <v>951.00001316457463</v>
      </c>
      <c r="F58" s="18" t="s">
        <v>77</v>
      </c>
      <c r="G58" s="14" t="str">
        <f t="shared" si="10"/>
        <v>39535.347</v>
      </c>
      <c r="H58" s="13">
        <f t="shared" si="11"/>
        <v>951</v>
      </c>
      <c r="I58" s="45" t="s">
        <v>178</v>
      </c>
      <c r="J58" s="46" t="s">
        <v>179</v>
      </c>
      <c r="K58" s="45">
        <v>951</v>
      </c>
      <c r="L58" s="45" t="s">
        <v>162</v>
      </c>
      <c r="M58" s="46" t="s">
        <v>84</v>
      </c>
      <c r="N58" s="46"/>
      <c r="O58" s="47" t="s">
        <v>170</v>
      </c>
      <c r="P58" s="47" t="s">
        <v>171</v>
      </c>
    </row>
    <row r="59" spans="1:16" ht="12.75" customHeight="1" thickBot="1" x14ac:dyDescent="0.25">
      <c r="A59" s="13" t="str">
        <f t="shared" si="6"/>
        <v> HABZ 92 </v>
      </c>
      <c r="B59" s="18" t="str">
        <f t="shared" si="7"/>
        <v>I</v>
      </c>
      <c r="C59" s="13">
        <f t="shared" si="8"/>
        <v>42839.362999999998</v>
      </c>
      <c r="D59" s="14" t="str">
        <f t="shared" si="9"/>
        <v>vis</v>
      </c>
      <c r="E59" s="44">
        <f>VLOOKUP(C59,Active!C$21:E$973,3,FALSE)</f>
        <v>2032.9891790473146</v>
      </c>
      <c r="F59" s="18" t="s">
        <v>77</v>
      </c>
      <c r="G59" s="14" t="str">
        <f t="shared" si="10"/>
        <v>42839.363</v>
      </c>
      <c r="H59" s="13">
        <f t="shared" si="11"/>
        <v>2033</v>
      </c>
      <c r="I59" s="45" t="s">
        <v>193</v>
      </c>
      <c r="J59" s="46" t="s">
        <v>194</v>
      </c>
      <c r="K59" s="45">
        <v>2033</v>
      </c>
      <c r="L59" s="45" t="s">
        <v>116</v>
      </c>
      <c r="M59" s="46" t="s">
        <v>84</v>
      </c>
      <c r="N59" s="46"/>
      <c r="O59" s="47" t="s">
        <v>170</v>
      </c>
      <c r="P59" s="47" t="s">
        <v>171</v>
      </c>
    </row>
    <row r="60" spans="1:16" ht="12.75" customHeight="1" thickBot="1" x14ac:dyDescent="0.25">
      <c r="A60" s="13" t="str">
        <f t="shared" si="6"/>
        <v> BRNO 32 </v>
      </c>
      <c r="B60" s="18" t="str">
        <f t="shared" si="7"/>
        <v>I</v>
      </c>
      <c r="C60" s="13">
        <f t="shared" si="8"/>
        <v>50864.345200000003</v>
      </c>
      <c r="D60" s="14" t="str">
        <f t="shared" si="9"/>
        <v>vis</v>
      </c>
      <c r="E60" s="44">
        <f>VLOOKUP(C60,Active!C$21:E$973,3,FALSE)</f>
        <v>4660.986076399462</v>
      </c>
      <c r="F60" s="18" t="s">
        <v>77</v>
      </c>
      <c r="G60" s="14" t="str">
        <f t="shared" si="10"/>
        <v>50864.3452</v>
      </c>
      <c r="H60" s="13">
        <f t="shared" si="11"/>
        <v>4661</v>
      </c>
      <c r="I60" s="45" t="s">
        <v>228</v>
      </c>
      <c r="J60" s="46" t="s">
        <v>229</v>
      </c>
      <c r="K60" s="45">
        <v>4661</v>
      </c>
      <c r="L60" s="45" t="s">
        <v>230</v>
      </c>
      <c r="M60" s="46" t="s">
        <v>98</v>
      </c>
      <c r="N60" s="46"/>
      <c r="O60" s="47" t="s">
        <v>231</v>
      </c>
      <c r="P60" s="47" t="s">
        <v>232</v>
      </c>
    </row>
    <row r="61" spans="1:16" ht="12.75" customHeight="1" thickBot="1" x14ac:dyDescent="0.25">
      <c r="A61" s="13" t="str">
        <f t="shared" si="6"/>
        <v>VSB 44 </v>
      </c>
      <c r="B61" s="18" t="str">
        <f t="shared" si="7"/>
        <v>I</v>
      </c>
      <c r="C61" s="13">
        <f t="shared" si="8"/>
        <v>53404.963000000003</v>
      </c>
      <c r="D61" s="14" t="str">
        <f t="shared" si="9"/>
        <v>vis</v>
      </c>
      <c r="E61" s="44">
        <f>VLOOKUP(C61,Active!C$21:E$973,3,FALSE)</f>
        <v>5492.9799088291011</v>
      </c>
      <c r="F61" s="18" t="s">
        <v>77</v>
      </c>
      <c r="G61" s="14" t="str">
        <f t="shared" si="10"/>
        <v>53404.963</v>
      </c>
      <c r="H61" s="13">
        <f t="shared" si="11"/>
        <v>5493</v>
      </c>
      <c r="I61" s="45" t="s">
        <v>245</v>
      </c>
      <c r="J61" s="46" t="s">
        <v>246</v>
      </c>
      <c r="K61" s="45">
        <v>5493</v>
      </c>
      <c r="L61" s="45" t="s">
        <v>247</v>
      </c>
      <c r="M61" s="46" t="s">
        <v>98</v>
      </c>
      <c r="N61" s="46"/>
      <c r="O61" s="47" t="s">
        <v>248</v>
      </c>
      <c r="P61" s="48" t="s">
        <v>249</v>
      </c>
    </row>
    <row r="62" spans="1:16" ht="12.75" customHeight="1" thickBot="1" x14ac:dyDescent="0.25">
      <c r="A62" s="13" t="str">
        <f t="shared" si="6"/>
        <v>VSB 45 </v>
      </c>
      <c r="B62" s="18" t="str">
        <f t="shared" si="7"/>
        <v>I</v>
      </c>
      <c r="C62" s="13">
        <f t="shared" si="8"/>
        <v>53743.915999999997</v>
      </c>
      <c r="D62" s="14" t="str">
        <f t="shared" si="9"/>
        <v>vis</v>
      </c>
      <c r="E62" s="44">
        <f>VLOOKUP(C62,Active!C$21:E$973,3,FALSE)</f>
        <v>5603.9792120235907</v>
      </c>
      <c r="F62" s="18" t="s">
        <v>77</v>
      </c>
      <c r="G62" s="14" t="str">
        <f t="shared" si="10"/>
        <v>53743.916</v>
      </c>
      <c r="H62" s="13">
        <f t="shared" si="11"/>
        <v>5604</v>
      </c>
      <c r="I62" s="45" t="s">
        <v>263</v>
      </c>
      <c r="J62" s="46" t="s">
        <v>264</v>
      </c>
      <c r="K62" s="45" t="s">
        <v>265</v>
      </c>
      <c r="L62" s="45" t="s">
        <v>266</v>
      </c>
      <c r="M62" s="46" t="s">
        <v>98</v>
      </c>
      <c r="N62" s="46"/>
      <c r="O62" s="47" t="s">
        <v>267</v>
      </c>
      <c r="P62" s="48" t="s">
        <v>268</v>
      </c>
    </row>
    <row r="63" spans="1:16" ht="12.75" customHeight="1" thickBot="1" x14ac:dyDescent="0.25">
      <c r="A63" s="13" t="str">
        <f t="shared" si="6"/>
        <v>BAVM 203 </v>
      </c>
      <c r="B63" s="18" t="str">
        <f t="shared" si="7"/>
        <v>I</v>
      </c>
      <c r="C63" s="13">
        <f t="shared" si="8"/>
        <v>54809.649599999997</v>
      </c>
      <c r="D63" s="14" t="str">
        <f t="shared" si="9"/>
        <v>vis</v>
      </c>
      <c r="E63" s="44">
        <f>VLOOKUP(C63,Active!C$21:E$973,3,FALSE)</f>
        <v>5952.9824277819926</v>
      </c>
      <c r="F63" s="18" t="s">
        <v>77</v>
      </c>
      <c r="G63" s="14" t="str">
        <f t="shared" si="10"/>
        <v>54809.6496</v>
      </c>
      <c r="H63" s="13">
        <f t="shared" si="11"/>
        <v>5953</v>
      </c>
      <c r="I63" s="45" t="s">
        <v>290</v>
      </c>
      <c r="J63" s="46" t="s">
        <v>291</v>
      </c>
      <c r="K63" s="45" t="s">
        <v>292</v>
      </c>
      <c r="L63" s="45" t="s">
        <v>293</v>
      </c>
      <c r="M63" s="46" t="s">
        <v>259</v>
      </c>
      <c r="N63" s="46" t="s">
        <v>260</v>
      </c>
      <c r="O63" s="47" t="s">
        <v>288</v>
      </c>
      <c r="P63" s="48" t="s">
        <v>294</v>
      </c>
    </row>
    <row r="64" spans="1:16" ht="12.75" customHeight="1" thickBot="1" x14ac:dyDescent="0.25">
      <c r="A64" s="13" t="str">
        <f t="shared" si="6"/>
        <v>VSB 53 </v>
      </c>
      <c r="B64" s="18" t="str">
        <f t="shared" si="7"/>
        <v>I</v>
      </c>
      <c r="C64" s="13">
        <f t="shared" si="8"/>
        <v>55579.174200000001</v>
      </c>
      <c r="D64" s="14" t="str">
        <f t="shared" si="9"/>
        <v>vis</v>
      </c>
      <c r="E64" s="44">
        <f>VLOOKUP(C64,Active!C$21:E$973,3,FALSE)</f>
        <v>6204.984016176315</v>
      </c>
      <c r="F64" s="18" t="s">
        <v>77</v>
      </c>
      <c r="G64" s="14" t="str">
        <f t="shared" si="10"/>
        <v>55579.1742</v>
      </c>
      <c r="H64" s="13">
        <f t="shared" si="11"/>
        <v>6205</v>
      </c>
      <c r="I64" s="45" t="s">
        <v>295</v>
      </c>
      <c r="J64" s="46" t="s">
        <v>296</v>
      </c>
      <c r="K64" s="45" t="s">
        <v>297</v>
      </c>
      <c r="L64" s="45" t="s">
        <v>258</v>
      </c>
      <c r="M64" s="46" t="s">
        <v>259</v>
      </c>
      <c r="N64" s="46" t="s">
        <v>77</v>
      </c>
      <c r="O64" s="47" t="s">
        <v>298</v>
      </c>
      <c r="P64" s="48" t="s">
        <v>299</v>
      </c>
    </row>
    <row r="65" spans="1:16" ht="12.75" customHeight="1" thickBot="1" x14ac:dyDescent="0.25">
      <c r="A65" s="13" t="str">
        <f t="shared" si="6"/>
        <v>VSB 55 </v>
      </c>
      <c r="B65" s="18" t="str">
        <f t="shared" si="7"/>
        <v>I</v>
      </c>
      <c r="C65" s="13">
        <f t="shared" si="8"/>
        <v>55970.036099999998</v>
      </c>
      <c r="D65" s="14" t="str">
        <f t="shared" si="9"/>
        <v>vis</v>
      </c>
      <c r="E65" s="44">
        <f>VLOOKUP(C65,Active!C$21:E$973,3,FALSE)</f>
        <v>6332.9822889317547</v>
      </c>
      <c r="F65" s="18" t="s">
        <v>77</v>
      </c>
      <c r="G65" s="14" t="str">
        <f t="shared" si="10"/>
        <v>55970.0361</v>
      </c>
      <c r="H65" s="13">
        <f t="shared" si="11"/>
        <v>6333</v>
      </c>
      <c r="I65" s="45" t="s">
        <v>305</v>
      </c>
      <c r="J65" s="46" t="s">
        <v>306</v>
      </c>
      <c r="K65" s="45" t="s">
        <v>307</v>
      </c>
      <c r="L65" s="45" t="s">
        <v>308</v>
      </c>
      <c r="M65" s="46" t="s">
        <v>259</v>
      </c>
      <c r="N65" s="46" t="s">
        <v>309</v>
      </c>
      <c r="O65" s="47" t="s">
        <v>310</v>
      </c>
      <c r="P65" s="48" t="s">
        <v>311</v>
      </c>
    </row>
    <row r="66" spans="1:16" x14ac:dyDescent="0.2">
      <c r="B66" s="18"/>
      <c r="F66" s="18"/>
    </row>
    <row r="67" spans="1:16" x14ac:dyDescent="0.2">
      <c r="B67" s="18"/>
      <c r="F67" s="18"/>
    </row>
    <row r="68" spans="1:16" x14ac:dyDescent="0.2">
      <c r="B68" s="18"/>
      <c r="F68" s="18"/>
    </row>
    <row r="69" spans="1:16" x14ac:dyDescent="0.2">
      <c r="B69" s="18"/>
      <c r="F69" s="18"/>
    </row>
    <row r="70" spans="1:16" x14ac:dyDescent="0.2">
      <c r="B70" s="18"/>
      <c r="F70" s="18"/>
    </row>
    <row r="71" spans="1:16" x14ac:dyDescent="0.2">
      <c r="B71" s="18"/>
      <c r="F71" s="18"/>
    </row>
    <row r="72" spans="1:16" x14ac:dyDescent="0.2">
      <c r="B72" s="18"/>
      <c r="F72" s="18"/>
    </row>
    <row r="73" spans="1:16" x14ac:dyDescent="0.2">
      <c r="B73" s="18"/>
      <c r="F73" s="18"/>
    </row>
    <row r="74" spans="1:16" x14ac:dyDescent="0.2">
      <c r="B74" s="18"/>
      <c r="F74" s="18"/>
    </row>
    <row r="75" spans="1:16" x14ac:dyDescent="0.2">
      <c r="B75" s="18"/>
      <c r="F75" s="18"/>
    </row>
    <row r="76" spans="1:16" x14ac:dyDescent="0.2">
      <c r="B76" s="18"/>
      <c r="F76" s="18"/>
    </row>
    <row r="77" spans="1:16" x14ac:dyDescent="0.2">
      <c r="B77" s="18"/>
      <c r="F77" s="18"/>
    </row>
    <row r="78" spans="1:16" x14ac:dyDescent="0.2">
      <c r="B78" s="18"/>
      <c r="F78" s="18"/>
    </row>
    <row r="79" spans="1:16" x14ac:dyDescent="0.2">
      <c r="B79" s="18"/>
      <c r="F79" s="18"/>
    </row>
    <row r="80" spans="1:16" x14ac:dyDescent="0.2">
      <c r="B80" s="18"/>
      <c r="F80" s="18"/>
    </row>
    <row r="81" spans="2:6" x14ac:dyDescent="0.2">
      <c r="B81" s="18"/>
      <c r="F81" s="18"/>
    </row>
    <row r="82" spans="2:6" x14ac:dyDescent="0.2">
      <c r="B82" s="18"/>
      <c r="F82" s="18"/>
    </row>
    <row r="83" spans="2:6" x14ac:dyDescent="0.2">
      <c r="B83" s="18"/>
      <c r="F83" s="18"/>
    </row>
    <row r="84" spans="2:6" x14ac:dyDescent="0.2">
      <c r="B84" s="18"/>
      <c r="F84" s="18"/>
    </row>
    <row r="85" spans="2:6" x14ac:dyDescent="0.2">
      <c r="B85" s="18"/>
      <c r="F85" s="18"/>
    </row>
    <row r="86" spans="2:6" x14ac:dyDescent="0.2">
      <c r="B86" s="18"/>
      <c r="F86" s="18"/>
    </row>
    <row r="87" spans="2:6" x14ac:dyDescent="0.2">
      <c r="B87" s="18"/>
      <c r="F87" s="18"/>
    </row>
    <row r="88" spans="2:6" x14ac:dyDescent="0.2">
      <c r="B88" s="18"/>
      <c r="F88" s="18"/>
    </row>
    <row r="89" spans="2:6" x14ac:dyDescent="0.2">
      <c r="B89" s="18"/>
      <c r="F89" s="18"/>
    </row>
    <row r="90" spans="2:6" x14ac:dyDescent="0.2">
      <c r="B90" s="18"/>
      <c r="F90" s="18"/>
    </row>
    <row r="91" spans="2:6" x14ac:dyDescent="0.2">
      <c r="B91" s="18"/>
      <c r="F91" s="18"/>
    </row>
    <row r="92" spans="2:6" x14ac:dyDescent="0.2">
      <c r="B92" s="18"/>
      <c r="F92" s="18"/>
    </row>
    <row r="93" spans="2:6" x14ac:dyDescent="0.2">
      <c r="B93" s="18"/>
      <c r="F93" s="18"/>
    </row>
    <row r="94" spans="2:6" x14ac:dyDescent="0.2">
      <c r="B94" s="18"/>
      <c r="F94" s="18"/>
    </row>
    <row r="95" spans="2:6" x14ac:dyDescent="0.2">
      <c r="B95" s="18"/>
      <c r="F95" s="18"/>
    </row>
    <row r="96" spans="2: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</sheetData>
  <phoneticPr fontId="18" type="noConversion"/>
  <hyperlinks>
    <hyperlink ref="P25" r:id="rId1" display="http://www.konkoly.hu/cgi-bin/IBVS?5583"/>
    <hyperlink ref="P61" r:id="rId2" display="http://vsolj.cetus-net.org/no44.pdf"/>
    <hyperlink ref="P26" r:id="rId3" display="http://www.bav-astro.de/sfs/BAVM_link.php?BAVMnr=173"/>
    <hyperlink ref="P27" r:id="rId4" display="http://www.bav-astro.de/sfs/BAVM_link.php?BAVMnr=178"/>
    <hyperlink ref="P62" r:id="rId5" display="http://vsolj.cetus-net.org/no45.pdf"/>
    <hyperlink ref="P28" r:id="rId6" display="http://www.bav-astro.de/sfs/BAVM_link.php?BAVMnr=186"/>
    <hyperlink ref="P29" r:id="rId7" display="http://www.bav-astro.de/sfs/BAVM_link.php?BAVMnr=186"/>
    <hyperlink ref="P30" r:id="rId8" display="http://www.bav-astro.de/sfs/BAVM_link.php?BAVMnr=186"/>
    <hyperlink ref="P31" r:id="rId9" display="http://www.bav-astro.de/sfs/BAVM_link.php?BAVMnr=201"/>
    <hyperlink ref="P63" r:id="rId10" display="http://www.bav-astro.de/sfs/BAVM_link.php?BAVMnr=203"/>
    <hyperlink ref="P64" r:id="rId11" display="http://vsolj.cetus-net.org/vsoljno53.pdf"/>
    <hyperlink ref="P32" r:id="rId12" display="http://www.konkoly.hu/cgi-bin/IBVS?5992"/>
    <hyperlink ref="P65" r:id="rId13" display="http://vsolj.cetus-net.org/vsoljno55.pdf"/>
    <hyperlink ref="P33" r:id="rId14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2023-01-14T04:41:46Z</dcterms:modified>
</cp:coreProperties>
</file>