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F8F908E-0333-491E-B2F3-D8ED23D1DA86}" xr6:coauthVersionLast="47" xr6:coauthVersionMax="47" xr10:uidLastSave="{00000000-0000-0000-0000-000000000000}"/>
  <bookViews>
    <workbookView xWindow="14310" yWindow="91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4" i="1"/>
  <c r="E25" i="1"/>
  <c r="F25" i="1" s="1"/>
  <c r="G25" i="1" s="1"/>
  <c r="K25" i="1" s="1"/>
  <c r="Q25" i="1"/>
  <c r="Q26" i="1"/>
  <c r="Q27" i="1"/>
  <c r="Q28" i="1"/>
  <c r="E29" i="1"/>
  <c r="F29" i="1" s="1"/>
  <c r="G29" i="1" s="1"/>
  <c r="K29" i="1" s="1"/>
  <c r="Q29" i="1"/>
  <c r="R23" i="1"/>
  <c r="Q30" i="1"/>
  <c r="R24" i="1"/>
  <c r="Q31" i="1"/>
  <c r="R25" i="1"/>
  <c r="Q22" i="1"/>
  <c r="C21" i="1"/>
  <c r="C17" i="1" s="1"/>
  <c r="A21" i="1"/>
  <c r="R22" i="1"/>
  <c r="D9" i="1"/>
  <c r="C9" i="1"/>
  <c r="C7" i="1"/>
  <c r="E23" i="1" s="1"/>
  <c r="F23" i="1" s="1"/>
  <c r="G23" i="1" s="1"/>
  <c r="K23" i="1" s="1"/>
  <c r="C8" i="1"/>
  <c r="E22" i="1" s="1"/>
  <c r="F22" i="1" s="1"/>
  <c r="G22" i="1" s="1"/>
  <c r="K22" i="1" s="1"/>
  <c r="E21" i="1"/>
  <c r="F21" i="1" s="1"/>
  <c r="G21" i="1" s="1"/>
  <c r="I21" i="1" s="1"/>
  <c r="F17" i="1"/>
  <c r="Q21" i="1"/>
  <c r="E31" i="1" l="1"/>
  <c r="F31" i="1" s="1"/>
  <c r="G31" i="1" s="1"/>
  <c r="K31" i="1" s="1"/>
  <c r="E28" i="1"/>
  <c r="F28" i="1" s="1"/>
  <c r="G28" i="1" s="1"/>
  <c r="K28" i="1" s="1"/>
  <c r="E30" i="1"/>
  <c r="F30" i="1" s="1"/>
  <c r="G30" i="1" s="1"/>
  <c r="K30" i="1" s="1"/>
  <c r="E27" i="1"/>
  <c r="F27" i="1" s="1"/>
  <c r="G27" i="1" s="1"/>
  <c r="K27" i="1" s="1"/>
  <c r="E24" i="1"/>
  <c r="F24" i="1" s="1"/>
  <c r="G24" i="1" s="1"/>
  <c r="E26" i="1"/>
  <c r="F26" i="1" s="1"/>
  <c r="G26" i="1" s="1"/>
  <c r="K26" i="1" s="1"/>
  <c r="C11" i="1"/>
  <c r="C12" i="1"/>
  <c r="C16" i="1" l="1"/>
  <c r="D18" i="1" s="1"/>
  <c r="O24" i="1"/>
  <c r="O29" i="1"/>
  <c r="O28" i="1"/>
  <c r="C15" i="1"/>
  <c r="O25" i="1"/>
  <c r="O23" i="1"/>
  <c r="O22" i="1"/>
  <c r="O30" i="1"/>
  <c r="O27" i="1"/>
  <c r="O26" i="1"/>
  <c r="O31" i="1"/>
  <c r="O21" i="1"/>
  <c r="K24" i="1"/>
  <c r="F18" i="1" l="1"/>
  <c r="F19" i="1" s="1"/>
  <c r="C18" i="1"/>
</calcChain>
</file>

<file path=xl/sharedStrings.xml><?xml version="1.0" encoding="utf-8"?>
<sst xmlns="http://schemas.openxmlformats.org/spreadsheetml/2006/main" count="66" uniqueCount="48">
  <si>
    <t>OEJV 0191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</si>
  <si>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</si>
  <si>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</si>
  <si>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</si>
  <si>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</si>
  <si>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</si>
  <si>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</si>
  <si>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</si>
  <si>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</si>
  <si>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</si>
  <si>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</si>
  <si>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</si>
  <si>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</si>
  <si>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</si>
  <si>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</si>
  <si>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</si>
  <si>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</si>
  <si>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</si>
  <si>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</si>
  <si>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</si>
  <si>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</si>
  <si>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</si>
  <si>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</si>
  <si>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</si>
  <si>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</si>
  <si>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</si>
  <si>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</si>
  <si>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</si>
  <si>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</si>
  <si>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</si>
  <si>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</si>
  <si>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</si>
  <si>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</si>
  <si>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</si>
  <si>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</si>
  <si>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</si>
  <si>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</si>
  <si>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</si>
  <si>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G8013-0824_Gru.xls</t>
  </si>
  <si>
    <t>EW/KW</t>
  </si>
  <si>
    <t>IBVS 5532 Eph.</t>
  </si>
  <si>
    <t>IBVS 5532</t>
  </si>
  <si>
    <t>Gru</t>
  </si>
  <si>
    <t>DY Gru / GSC 8013-0824  / NSV 14532</t>
  </si>
  <si>
    <t>vis</t>
  </si>
  <si>
    <t>JAVSO 49, 251</t>
  </si>
  <si>
    <t>II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</si>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</sst>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41" applyFont="1" applyAlignment="1">
      <alignment horizontal="left"/>
    </xf>
    <xf numFmtId="0" fontId="31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DY Gru - O-C Diagr.</a:t>
            </a:r>
          </a:p>
        </c:rich>
      </c:tx>
      <c:layout>
        <c:manualLayout>
          <c:xMode val="edge"/>
          <c:yMode val="edge"/>
          <c:x val="0.396383866481223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16908</c:v>
                </c:pt>
                <c:pt idx="3">
                  <c:v>16911</c:v>
                </c:pt>
                <c:pt idx="4">
                  <c:v>16919.5</c:v>
                </c:pt>
                <c:pt idx="5">
                  <c:v>16920</c:v>
                </c:pt>
                <c:pt idx="6">
                  <c:v>17211</c:v>
                </c:pt>
                <c:pt idx="7">
                  <c:v>17211.5</c:v>
                </c:pt>
                <c:pt idx="8">
                  <c:v>18151.5</c:v>
                </c:pt>
                <c:pt idx="9">
                  <c:v>18258.5</c:v>
                </c:pt>
                <c:pt idx="10">
                  <c:v>18285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F1-4B0F-BBED-6567CA93B3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16908</c:v>
                </c:pt>
                <c:pt idx="3">
                  <c:v>16911</c:v>
                </c:pt>
                <c:pt idx="4">
                  <c:v>16919.5</c:v>
                </c:pt>
                <c:pt idx="5">
                  <c:v>16920</c:v>
                </c:pt>
                <c:pt idx="6">
                  <c:v>17211</c:v>
                </c:pt>
                <c:pt idx="7">
                  <c:v>17211.5</c:v>
                </c:pt>
                <c:pt idx="8">
                  <c:v>18151.5</c:v>
                </c:pt>
                <c:pt idx="9">
                  <c:v>18258.5</c:v>
                </c:pt>
                <c:pt idx="10">
                  <c:v>18285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F1-4B0F-BBED-6567CA93B3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16908</c:v>
                </c:pt>
                <c:pt idx="3">
                  <c:v>16911</c:v>
                </c:pt>
                <c:pt idx="4">
                  <c:v>16919.5</c:v>
                </c:pt>
                <c:pt idx="5">
                  <c:v>16920</c:v>
                </c:pt>
                <c:pt idx="6">
                  <c:v>17211</c:v>
                </c:pt>
                <c:pt idx="7">
                  <c:v>17211.5</c:v>
                </c:pt>
                <c:pt idx="8">
                  <c:v>18151.5</c:v>
                </c:pt>
                <c:pt idx="9">
                  <c:v>18258.5</c:v>
                </c:pt>
                <c:pt idx="10">
                  <c:v>18285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F1-4B0F-BBED-6567CA93B3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16908</c:v>
                </c:pt>
                <c:pt idx="3">
                  <c:v>16911</c:v>
                </c:pt>
                <c:pt idx="4">
                  <c:v>16919.5</c:v>
                </c:pt>
                <c:pt idx="5">
                  <c:v>16920</c:v>
                </c:pt>
                <c:pt idx="6">
                  <c:v>17211</c:v>
                </c:pt>
                <c:pt idx="7">
                  <c:v>17211.5</c:v>
                </c:pt>
                <c:pt idx="8">
                  <c:v>18151.5</c:v>
                </c:pt>
                <c:pt idx="9">
                  <c:v>18258.5</c:v>
                </c:pt>
                <c:pt idx="10">
                  <c:v>18285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8.449000000837259E-3</c:v>
                </c:pt>
                <c:pt idx="2">
                  <c:v>9.648000035667792E-3</c:v>
                </c:pt>
                <c:pt idx="3">
                  <c:v>1.0241000003588852E-2</c:v>
                </c:pt>
                <c:pt idx="4">
                  <c:v>9.6444998125662096E-3</c:v>
                </c:pt>
                <c:pt idx="5">
                  <c:v>9.6899998679873534E-3</c:v>
                </c:pt>
                <c:pt idx="6">
                  <c:v>9.3010002310620621E-3</c:v>
                </c:pt>
                <c:pt idx="7">
                  <c:v>8.1065001577371731E-3</c:v>
                </c:pt>
                <c:pt idx="8">
                  <c:v>7.7965000018593855E-3</c:v>
                </c:pt>
                <c:pt idx="9">
                  <c:v>7.8835000022081658E-3</c:v>
                </c:pt>
                <c:pt idx="10">
                  <c:v>8.484999998472631E-3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F1-4B0F-BBED-6567CA93B3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16908</c:v>
                </c:pt>
                <c:pt idx="3">
                  <c:v>16911</c:v>
                </c:pt>
                <c:pt idx="4">
                  <c:v>16919.5</c:v>
                </c:pt>
                <c:pt idx="5">
                  <c:v>16920</c:v>
                </c:pt>
                <c:pt idx="6">
                  <c:v>17211</c:v>
                </c:pt>
                <c:pt idx="7">
                  <c:v>17211.5</c:v>
                </c:pt>
                <c:pt idx="8">
                  <c:v>18151.5</c:v>
                </c:pt>
                <c:pt idx="9">
                  <c:v>18258.5</c:v>
                </c:pt>
                <c:pt idx="10">
                  <c:v>18285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F1-4B0F-BBED-6567CA93B3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16908</c:v>
                </c:pt>
                <c:pt idx="3">
                  <c:v>16911</c:v>
                </c:pt>
                <c:pt idx="4">
                  <c:v>16919.5</c:v>
                </c:pt>
                <c:pt idx="5">
                  <c:v>16920</c:v>
                </c:pt>
                <c:pt idx="6">
                  <c:v>17211</c:v>
                </c:pt>
                <c:pt idx="7">
                  <c:v>17211.5</c:v>
                </c:pt>
                <c:pt idx="8">
                  <c:v>18151.5</c:v>
                </c:pt>
                <c:pt idx="9">
                  <c:v>18258.5</c:v>
                </c:pt>
                <c:pt idx="10">
                  <c:v>18285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F1-4B0F-BBED-6567CA93B3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2E-3</c:v>
                  </c:pt>
                  <c:pt idx="2">
                    <c:v>8.5999999999999998E-4</c:v>
                  </c:pt>
                  <c:pt idx="3">
                    <c:v>8.4000000000000003E-4</c:v>
                  </c:pt>
                  <c:pt idx="4">
                    <c:v>9.7000000000000005E-4</c:v>
                  </c:pt>
                  <c:pt idx="5">
                    <c:v>7.2999999999999996E-4</c:v>
                  </c:pt>
                  <c:pt idx="6">
                    <c:v>9.8999999999999999E-4</c:v>
                  </c:pt>
                  <c:pt idx="7">
                    <c:v>1.3799999999999999E-3</c:v>
                  </c:pt>
                  <c:pt idx="8">
                    <c:v>9.3999999999999997E-4</c:v>
                  </c:pt>
                  <c:pt idx="9">
                    <c:v>9.7000000000000005E-4</c:v>
                  </c:pt>
                  <c:pt idx="10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16908</c:v>
                </c:pt>
                <c:pt idx="3">
                  <c:v>16911</c:v>
                </c:pt>
                <c:pt idx="4">
                  <c:v>16919.5</c:v>
                </c:pt>
                <c:pt idx="5">
                  <c:v>16920</c:v>
                </c:pt>
                <c:pt idx="6">
                  <c:v>17211</c:v>
                </c:pt>
                <c:pt idx="7">
                  <c:v>17211.5</c:v>
                </c:pt>
                <c:pt idx="8">
                  <c:v>18151.5</c:v>
                </c:pt>
                <c:pt idx="9">
                  <c:v>18258.5</c:v>
                </c:pt>
                <c:pt idx="10">
                  <c:v>18285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F1-4B0F-BBED-6567CA93B3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15019</c:v>
                </c:pt>
                <c:pt idx="2">
                  <c:v>16908</c:v>
                </c:pt>
                <c:pt idx="3">
                  <c:v>16911</c:v>
                </c:pt>
                <c:pt idx="4">
                  <c:v>16919.5</c:v>
                </c:pt>
                <c:pt idx="5">
                  <c:v>16920</c:v>
                </c:pt>
                <c:pt idx="6">
                  <c:v>17211</c:v>
                </c:pt>
                <c:pt idx="7">
                  <c:v>17211.5</c:v>
                </c:pt>
                <c:pt idx="8">
                  <c:v>18151.5</c:v>
                </c:pt>
                <c:pt idx="9">
                  <c:v>18258.5</c:v>
                </c:pt>
                <c:pt idx="10">
                  <c:v>18285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3.9133693516469129E-4</c:v>
                </c:pt>
                <c:pt idx="1">
                  <c:v>7.817154176413316E-3</c:v>
                </c:pt>
                <c:pt idx="2">
                  <c:v>8.7511290594760125E-3</c:v>
                </c:pt>
                <c:pt idx="3">
                  <c:v>8.7526123440970754E-3</c:v>
                </c:pt>
                <c:pt idx="4">
                  <c:v>8.7568149838567547E-3</c:v>
                </c:pt>
                <c:pt idx="5">
                  <c:v>8.7570621979602657E-3</c:v>
                </c:pt>
                <c:pt idx="6">
                  <c:v>8.9009408062033814E-3</c:v>
                </c:pt>
                <c:pt idx="7">
                  <c:v>8.9011880203068907E-3</c:v>
                </c:pt>
                <c:pt idx="8">
                  <c:v>9.3659505349066446E-3</c:v>
                </c:pt>
                <c:pt idx="9">
                  <c:v>9.4188543530578945E-3</c:v>
                </c:pt>
                <c:pt idx="10">
                  <c:v>9.431956700543951E-3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F1-4B0F-BBED-6567CA93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04352"/>
        <c:axId val="1"/>
      </c:scatterChart>
      <c:valAx>
        <c:axId val="45600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04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F117CD4-8BB6-3DCE-07EC-DE392E591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7"/>
  <sheetViews>
    <sheetView tabSelected="1" workbookViewId="0">
      <selection activeCell="F13" sqref="F1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43</v>
      </c>
      <c r="E1" s="29"/>
      <c r="F1" s="30"/>
      <c r="G1" s="31" t="s">
        <v>39</v>
      </c>
      <c r="H1" s="32" t="s">
        <v>40</v>
      </c>
      <c r="I1" s="33">
        <v>52992.612000000001</v>
      </c>
      <c r="J1" s="33">
        <v>0.33602900000000002</v>
      </c>
      <c r="K1" s="32" t="s">
        <v>41</v>
      </c>
      <c r="L1" s="34" t="s">
        <v>42</v>
      </c>
    </row>
    <row r="2" spans="1:12">
      <c r="A2" t="s">
        <v>27</v>
      </c>
      <c r="B2" t="s">
        <v>39</v>
      </c>
      <c r="C2" s="3"/>
      <c r="D2" t="s">
        <v>38</v>
      </c>
    </row>
    <row r="3" spans="1:12" ht="13.5" thickBot="1"/>
    <row r="4" spans="1:12" ht="14.25" thickTop="1" thickBot="1">
      <c r="A4" s="28" t="s">
        <v>40</v>
      </c>
      <c r="C4" s="8">
        <v>52992.612000000001</v>
      </c>
      <c r="D4" s="9">
        <v>0.33602900000000002</v>
      </c>
    </row>
    <row r="5" spans="1:12" ht="13.5" thickTop="1">
      <c r="A5" s="11" t="s">
        <v>32</v>
      </c>
      <c r="B5" s="12"/>
      <c r="C5" s="13">
        <v>-9.5</v>
      </c>
      <c r="D5" s="12" t="s">
        <v>33</v>
      </c>
    </row>
    <row r="6" spans="1:12">
      <c r="A6" s="5" t="s">
        <v>5</v>
      </c>
    </row>
    <row r="7" spans="1:12">
      <c r="A7" t="s">
        <v>6</v>
      </c>
      <c r="C7">
        <f>+C4</f>
        <v>52992.612000000001</v>
      </c>
    </row>
    <row r="8" spans="1:12">
      <c r="A8" t="s">
        <v>7</v>
      </c>
      <c r="C8">
        <f>+D4</f>
        <v>0.33602900000000002</v>
      </c>
    </row>
    <row r="9" spans="1:1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2"/>
      <c r="B10" s="12"/>
      <c r="C10" s="4" t="s">
        <v>23</v>
      </c>
      <c r="D10" s="4" t="s">
        <v>24</v>
      </c>
      <c r="E10" s="12"/>
    </row>
    <row r="11" spans="1:12">
      <c r="A11" s="12" t="s">
        <v>19</v>
      </c>
      <c r="B11" s="12"/>
      <c r="C11" s="23">
        <f ca="1">INTERCEPT(INDIRECT($D$9):G989,INDIRECT($C$9):F989)</f>
        <v>3.9133693516469129E-4</v>
      </c>
      <c r="D11" s="3"/>
      <c r="E11" s="12"/>
    </row>
    <row r="12" spans="1:12">
      <c r="A12" s="12" t="s">
        <v>20</v>
      </c>
      <c r="B12" s="12"/>
      <c r="C12" s="23">
        <f ca="1">SLOPE(INDIRECT($D$9):G989,INDIRECT($C$9):F989)</f>
        <v>4.9442820702101501E-7</v>
      </c>
      <c r="D12" s="3"/>
      <c r="E12" s="12"/>
    </row>
    <row r="13" spans="1:12">
      <c r="A13" s="12" t="s">
        <v>22</v>
      </c>
      <c r="B13" s="12"/>
      <c r="C13" s="3" t="s">
        <v>17</v>
      </c>
    </row>
    <row r="14" spans="1:12">
      <c r="A14" s="12"/>
      <c r="B14" s="12"/>
      <c r="C14" s="12"/>
    </row>
    <row r="15" spans="1:12">
      <c r="A15" s="14" t="s">
        <v>21</v>
      </c>
      <c r="B15" s="12"/>
      <c r="C15" s="15">
        <f ca="1">(C7+C11)+(C8+C12)*INT(MAX(F21:F3530))</f>
        <v>59136.911696956704</v>
      </c>
      <c r="E15" s="3"/>
      <c r="F15" s="12"/>
    </row>
    <row r="16" spans="1:12">
      <c r="A16" s="18" t="s">
        <v>8</v>
      </c>
      <c r="B16" s="12"/>
      <c r="C16" s="19">
        <f ca="1">+C8+C12</f>
        <v>0.33602949442820707</v>
      </c>
      <c r="E16" s="12"/>
      <c r="F16" s="12"/>
    </row>
    <row r="17" spans="1:18" ht="13.5" thickBot="1">
      <c r="A17" s="16" t="s">
        <v>31</v>
      </c>
      <c r="B17" s="12"/>
      <c r="C17" s="12">
        <f>COUNT(C21:C2188)</f>
        <v>11</v>
      </c>
      <c r="E17" s="16" t="s">
        <v>34</v>
      </c>
      <c r="F17" s="17">
        <f ca="1">TODAY()+15018.5-B5/24</f>
        <v>59958.5</v>
      </c>
    </row>
    <row r="18" spans="1:18" ht="14.25" thickTop="1" thickBot="1">
      <c r="A18" s="18" t="s">
        <v>9</v>
      </c>
      <c r="B18" s="12"/>
      <c r="C18" s="21">
        <f ca="1">+C15</f>
        <v>59136.911696956704</v>
      </c>
      <c r="D18" s="22">
        <f ca="1">+C16</f>
        <v>0.33602949442820707</v>
      </c>
      <c r="E18" s="16" t="s">
        <v>35</v>
      </c>
      <c r="F18" s="17">
        <f ca="1">ROUND(2*(F17-C15)/C16,0)/2+1</f>
        <v>2446</v>
      </c>
    </row>
    <row r="19" spans="1:18" ht="13.5" thickTop="1">
      <c r="E19" s="16" t="s">
        <v>36</v>
      </c>
      <c r="F19" s="20">
        <f ca="1">+C15+C16*F18-15018.5-C5/24</f>
        <v>44940.735673661431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44</v>
      </c>
      <c r="J20" s="7" t="s">
        <v>1</v>
      </c>
      <c r="K20" s="7" t="s">
        <v>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8">
      <c r="A21" t="str">
        <f>$K$1</f>
        <v>IBVS 5532</v>
      </c>
      <c r="C21" s="10">
        <f>+$C$4</f>
        <v>52992.612000000001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3.9133693516469129E-4</v>
      </c>
      <c r="Q21" s="2">
        <f>+C21-15018.5</f>
        <v>37974.112000000001</v>
      </c>
    </row>
    <row r="22" spans="1:18">
      <c r="A22" s="35" t="s">
        <v>0</v>
      </c>
      <c r="B22" s="35" t="s">
        <v>2</v>
      </c>
      <c r="C22" s="36">
        <v>58039.44</v>
      </c>
      <c r="D22" s="36">
        <v>2E-3</v>
      </c>
      <c r="E22">
        <f>+(C22-C$7)/C$8</f>
        <v>15019.025143663199</v>
      </c>
      <c r="F22">
        <f>ROUND(2*E22,0)/2</f>
        <v>15019</v>
      </c>
      <c r="G22">
        <f>+C22-(C$7+F22*C$8)</f>
        <v>8.449000000837259E-3</v>
      </c>
      <c r="K22">
        <f>+G22</f>
        <v>8.449000000837259E-3</v>
      </c>
      <c r="O22">
        <f ca="1">+C$11+C$12*$F22</f>
        <v>7.817154176413316E-3</v>
      </c>
      <c r="Q22" s="2">
        <f>+C22-15018.5</f>
        <v>43020.94</v>
      </c>
      <c r="R22" t="str">
        <f>IF(ABS(C22-C21)&lt;0.00001,1,"")</f>
        <v/>
      </c>
    </row>
    <row r="23" spans="1:18">
      <c r="A23" s="40" t="s">
        <v>47</v>
      </c>
      <c r="B23" s="41" t="s">
        <v>2</v>
      </c>
      <c r="C23" s="42">
        <v>58674.199980000034</v>
      </c>
      <c r="D23" s="40">
        <v>8.5999999999999998E-4</v>
      </c>
      <c r="E23">
        <f>+(C23-C$7)/C$8</f>
        <v>16908.02871180771</v>
      </c>
      <c r="F23">
        <f>ROUND(2*E23,0)/2</f>
        <v>16908</v>
      </c>
      <c r="G23">
        <f>+C23-(C$7+F23*C$8)</f>
        <v>9.648000035667792E-3</v>
      </c>
      <c r="K23">
        <f>+G23</f>
        <v>9.648000035667792E-3</v>
      </c>
      <c r="O23">
        <f ca="1">+C$11+C$12*$F23</f>
        <v>8.7511290594760125E-3</v>
      </c>
      <c r="Q23" s="2">
        <f>+C23-15018.5</f>
        <v>43655.699980000034</v>
      </c>
      <c r="R23" t="str">
        <f>IF(ABS(C23-C22)&lt;0.00001,1,"")</f>
        <v/>
      </c>
    </row>
    <row r="24" spans="1:18" ht="12" customHeight="1">
      <c r="A24" s="40" t="s">
        <v>47</v>
      </c>
      <c r="B24" s="41" t="s">
        <v>2</v>
      </c>
      <c r="C24" s="42">
        <v>58675.208660000004</v>
      </c>
      <c r="D24" s="40">
        <v>8.4000000000000003E-4</v>
      </c>
      <c r="E24">
        <f>+(C24-C$7)/C$8</f>
        <v>16911.03047653626</v>
      </c>
      <c r="F24">
        <f>ROUND(2*E24,0)/2</f>
        <v>16911</v>
      </c>
      <c r="G24">
        <f>+C24-(C$7+F24*C$8)</f>
        <v>1.0241000003588852E-2</v>
      </c>
      <c r="K24">
        <f>+G24</f>
        <v>1.0241000003588852E-2</v>
      </c>
      <c r="O24">
        <f ca="1">+C$11+C$12*$F24</f>
        <v>8.7526123440970754E-3</v>
      </c>
      <c r="Q24" s="2">
        <f>+C24-15018.5</f>
        <v>43656.708660000004</v>
      </c>
      <c r="R24" t="str">
        <f>IF(ABS(C24-C23)&lt;0.00001,1,"")</f>
        <v/>
      </c>
    </row>
    <row r="25" spans="1:18" ht="12" customHeight="1">
      <c r="A25" s="40" t="s">
        <v>47</v>
      </c>
      <c r="B25" s="41" t="s">
        <v>46</v>
      </c>
      <c r="C25" s="42">
        <v>58678.064309999812</v>
      </c>
      <c r="D25" s="40">
        <v>9.7000000000000005E-4</v>
      </c>
      <c r="E25">
        <f>+(C25-C$7)/C$8</f>
        <v>16919.528701391282</v>
      </c>
      <c r="F25">
        <f>ROUND(2*E25,0)/2</f>
        <v>16919.5</v>
      </c>
      <c r="G25">
        <f>+C25-(C$7+F25*C$8)</f>
        <v>9.6444998125662096E-3</v>
      </c>
      <c r="K25">
        <f>+G25</f>
        <v>9.6444998125662096E-3</v>
      </c>
      <c r="O25">
        <f ca="1">+C$11+C$12*$F25</f>
        <v>8.7568149838567547E-3</v>
      </c>
      <c r="Q25" s="2">
        <f>+C25-15018.5</f>
        <v>43659.564309999812</v>
      </c>
      <c r="R25" t="str">
        <f>IF(ABS(C25-C24)&lt;0.00001,1,"")</f>
        <v/>
      </c>
    </row>
    <row r="26" spans="1:18" ht="12" customHeight="1">
      <c r="A26" s="40" t="s">
        <v>47</v>
      </c>
      <c r="B26" s="41" t="s">
        <v>2</v>
      </c>
      <c r="C26" s="42">
        <v>58678.232369999867</v>
      </c>
      <c r="D26" s="40">
        <v>7.2999999999999996E-4</v>
      </c>
      <c r="E26">
        <f>+(C26-C$7)/C$8</f>
        <v>16920.028836796424</v>
      </c>
      <c r="F26">
        <f>ROUND(2*E26,0)/2</f>
        <v>16920</v>
      </c>
      <c r="G26">
        <f>+C26-(C$7+F26*C$8)</f>
        <v>9.6899998679873534E-3</v>
      </c>
      <c r="K26">
        <f>+G26</f>
        <v>9.6899998679873534E-3</v>
      </c>
      <c r="O26">
        <f ca="1">+C$11+C$12*$F26</f>
        <v>8.7570621979602657E-3</v>
      </c>
      <c r="Q26" s="2">
        <f>+C26-15018.5</f>
        <v>43659.732369999867</v>
      </c>
    </row>
    <row r="27" spans="1:18" ht="12" customHeight="1">
      <c r="A27" s="40" t="s">
        <v>47</v>
      </c>
      <c r="B27" s="41" t="s">
        <v>2</v>
      </c>
      <c r="C27" s="42">
        <v>58776.016420000233</v>
      </c>
      <c r="D27" s="40">
        <v>9.8999999999999999E-4</v>
      </c>
      <c r="E27">
        <f>+(C27-C$7)/C$8</f>
        <v>17211.027679159331</v>
      </c>
      <c r="F27">
        <f>ROUND(2*E27,0)/2</f>
        <v>17211</v>
      </c>
      <c r="G27">
        <f>+C27-(C$7+F27*C$8)</f>
        <v>9.3010002310620621E-3</v>
      </c>
      <c r="K27">
        <f>+G27</f>
        <v>9.3010002310620621E-3</v>
      </c>
      <c r="O27">
        <f ca="1">+C$11+C$12*$F27</f>
        <v>8.9009408062033814E-3</v>
      </c>
      <c r="Q27" s="2">
        <f>+C27-15018.5</f>
        <v>43757.516420000233</v>
      </c>
    </row>
    <row r="28" spans="1:18" ht="12" customHeight="1">
      <c r="A28" s="40" t="s">
        <v>47</v>
      </c>
      <c r="B28" s="41" t="s">
        <v>46</v>
      </c>
      <c r="C28" s="42">
        <v>58776.183240000159</v>
      </c>
      <c r="D28" s="40">
        <v>1.3799999999999999E-3</v>
      </c>
      <c r="E28">
        <f>+(C28-C$7)/C$8</f>
        <v>17211.524124406398</v>
      </c>
      <c r="F28">
        <f>ROUND(2*E28,0)/2</f>
        <v>17211.5</v>
      </c>
      <c r="G28">
        <f>+C28-(C$7+F28*C$8)</f>
        <v>8.1065001577371731E-3</v>
      </c>
      <c r="K28">
        <f>+G28</f>
        <v>8.1065001577371731E-3</v>
      </c>
      <c r="O28">
        <f ca="1">+C$11+C$12*$F28</f>
        <v>8.9011880203068907E-3</v>
      </c>
      <c r="Q28" s="2">
        <f>+C28-15018.5</f>
        <v>43757.683240000159</v>
      </c>
    </row>
    <row r="29" spans="1:18" ht="12" customHeight="1">
      <c r="A29" s="37" t="s">
        <v>45</v>
      </c>
      <c r="B29" s="38" t="s">
        <v>2</v>
      </c>
      <c r="C29" s="39">
        <v>59092.050190000002</v>
      </c>
      <c r="D29" s="39">
        <v>9.3999999999999997E-4</v>
      </c>
      <c r="E29">
        <f>+(C29-C$7)/C$8</f>
        <v>18151.523201866508</v>
      </c>
      <c r="F29">
        <f>ROUND(2*E29,0)/2</f>
        <v>18151.5</v>
      </c>
      <c r="G29">
        <f>+C29-(C$7+F29*C$8)</f>
        <v>7.7965000018593855E-3</v>
      </c>
      <c r="K29">
        <f>+G29</f>
        <v>7.7965000018593855E-3</v>
      </c>
      <c r="O29">
        <f ca="1">+C$11+C$12*$F29</f>
        <v>9.3659505349066446E-3</v>
      </c>
      <c r="Q29" s="2">
        <f>+C29-15018.5</f>
        <v>44073.550190000002</v>
      </c>
    </row>
    <row r="30" spans="1:18" ht="12" customHeight="1">
      <c r="A30" s="37" t="s">
        <v>45</v>
      </c>
      <c r="B30" s="38" t="s">
        <v>2</v>
      </c>
      <c r="C30" s="39">
        <v>59128.005380000002</v>
      </c>
      <c r="D30" s="39">
        <v>9.7000000000000005E-4</v>
      </c>
      <c r="E30">
        <f>+(C30-C$7)/C$8</f>
        <v>18258.523460772733</v>
      </c>
      <c r="F30">
        <f>ROUND(2*E30,0)/2</f>
        <v>18258.5</v>
      </c>
      <c r="G30">
        <f>+C30-(C$7+F30*C$8)</f>
        <v>7.8835000022081658E-3</v>
      </c>
      <c r="K30">
        <f>+G30</f>
        <v>7.8835000022081658E-3</v>
      </c>
      <c r="O30">
        <f ca="1">+C$11+C$12*$F30</f>
        <v>9.4188543530578945E-3</v>
      </c>
      <c r="Q30" s="2">
        <f>+C30-15018.5</f>
        <v>44109.505380000002</v>
      </c>
    </row>
    <row r="31" spans="1:18" ht="12" customHeight="1">
      <c r="A31" s="37" t="s">
        <v>45</v>
      </c>
      <c r="B31" s="38" t="s">
        <v>46</v>
      </c>
      <c r="C31" s="39">
        <v>59136.910750000003</v>
      </c>
      <c r="D31" s="39">
        <v>9.3999999999999997E-4</v>
      </c>
      <c r="E31">
        <f>+(C31-C$7)/C$8</f>
        <v>18285.025250796811</v>
      </c>
      <c r="F31">
        <f>ROUND(2*E31,0)/2</f>
        <v>18285</v>
      </c>
      <c r="G31">
        <f>+C31-(C$7+F31*C$8)</f>
        <v>8.484999998472631E-3</v>
      </c>
      <c r="K31">
        <f>+G31</f>
        <v>8.484999998472631E-3</v>
      </c>
      <c r="O31">
        <f ca="1">+C$11+C$12*$F31</f>
        <v>9.431956700543951E-3</v>
      </c>
      <c r="Q31" s="2">
        <f>+C31-15018.5</f>
        <v>44118.410750000003</v>
      </c>
    </row>
    <row r="32" spans="1:18" ht="12" customHeight="1">
      <c r="C32" s="10"/>
      <c r="D32" s="10"/>
    </row>
    <row r="33" spans="3:4" ht="12" customHeight="1">
      <c r="C33" s="10"/>
      <c r="D33" s="10"/>
    </row>
    <row r="34" spans="3:4" ht="12" customHeight="1">
      <c r="C34" s="10"/>
      <c r="D34" s="10"/>
    </row>
    <row r="35" spans="3:4" ht="12" customHeight="1">
      <c r="C35" s="10"/>
      <c r="D35" s="10"/>
    </row>
    <row r="36" spans="3:4" ht="12" customHeight="1">
      <c r="C36" s="10"/>
      <c r="D36" s="10"/>
    </row>
    <row r="37" spans="3:4" ht="12" customHeight="1">
      <c r="C37" s="10"/>
      <c r="D37" s="10"/>
    </row>
    <row r="38" spans="3:4" ht="12" customHeight="1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</sheetData>
  <sortState xmlns:xlrd2="http://schemas.microsoft.com/office/spreadsheetml/2017/richdata2" ref="A21:Q31">
    <sortCondition ref="C21:C31"/>
  </sortState>
  <phoneticPr fontId="8" type="noConversion"/>
  <hyperlinks>
    <hyperlink ref="H64410" r:id="rId1" display="http://vsolj.cetus-net.org/bulletin.html"/>
    <hyperlink ref="H64403" r:id="rId2" display="https://www.aavso.org/ejaavso"/>
    <hyperlink ref="AP554" r:id="rId3" display="http://cdsbib.u-strasbg.fr/cgi-bin/cdsbib?1990RMxAA..21..381G"/>
    <hyperlink ref="AP558" r:id="rId4" display="http://cdsbib.u-strasbg.fr/cgi-bin/cdsbib?1990RMxAA..21..381G"/>
    <hyperlink ref="AP557" r:id="rId5" display="http://cdsbib.u-strasbg.fr/cgi-bin/cdsbib?1990RMxAA..21..381G"/>
    <hyperlink ref="AP538" r:id="rId6" display="http://cdsbib.u-strasbg.fr/cgi-bin/cdsbib?1990RMxAA..21..381G"/>
    <hyperlink ref="I64410" r:id="rId7" display="http://vsolj.cetus-net.org/bulletin.html"/>
    <hyperlink ref="AQ694" r:id="rId8" display="http://cdsbib.u-strasbg.fr/cgi-bin/cdsbib?1990RMxAA..21..381G"/>
    <hyperlink ref="AQ55460" r:id="rId9" display="http://cdsbib.u-strasbg.fr/cgi-bin/cdsbib?1990RMxAA..21..381G"/>
    <hyperlink ref="AQ695" r:id="rId10" display="http://cdsbib.u-strasbg.fr/cgi-bin/cdsbib?1990RMxAA..21..381G"/>
    <hyperlink ref="H64407" r:id="rId11" display="https://www.aavso.org/ejaavso"/>
    <hyperlink ref="H1580" r:id="rId12" display="http://vsolj.cetus-net.org/bulletin.html"/>
    <hyperlink ref="AP2824" r:id="rId13" display="http://cdsbib.u-strasbg.fr/cgi-bin/cdsbib?1990RMxAA..21..381G"/>
    <hyperlink ref="AP2827" r:id="rId14" display="http://cdsbib.u-strasbg.fr/cgi-bin/cdsbib?1990RMxAA..21..381G"/>
    <hyperlink ref="AP2825" r:id="rId15" display="http://cdsbib.u-strasbg.fr/cgi-bin/cdsbib?1990RMxAA..21..381G"/>
    <hyperlink ref="AP2809" r:id="rId16" display="http://cdsbib.u-strasbg.fr/cgi-bin/cdsbib?1990RMxAA..21..381G"/>
    <hyperlink ref="I1580" r:id="rId17" display="http://vsolj.cetus-net.org/bulletin.html"/>
    <hyperlink ref="AQ3038" r:id="rId18" display="http://cdsbib.u-strasbg.fr/cgi-bin/cdsbib?1990RMxAA..21..381G"/>
    <hyperlink ref="AQ65275" r:id="rId19" display="http://cdsbib.u-strasbg.fr/cgi-bin/cdsbib?1990RMxAA..21..381G"/>
    <hyperlink ref="AQ304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2023-01-14T05:44:31Z</dcterms:modified>
</cp:coreProperties>
</file>