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50197454-3A44-4895-AD1A-269EED82859C}" xr6:coauthVersionLast="47" xr6:coauthVersionMax="47" xr10:uidLastSave="{00000000-0000-0000-0000-000000000000}"/>
  <bookViews>
    <workbookView xWindow="13995" yWindow="555" windowWidth="12975" windowHeight="14640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E65" i="1"/>
  <c r="F65" i="1" s="1"/>
  <c r="G65" i="1" s="1"/>
  <c r="K65" i="1" s="1"/>
  <c r="Q65" i="1"/>
  <c r="E66" i="1"/>
  <c r="F66" i="1"/>
  <c r="G66" i="1" s="1"/>
  <c r="K66" i="1" s="1"/>
  <c r="Q66" i="1"/>
  <c r="E67" i="1"/>
  <c r="F67" i="1" s="1"/>
  <c r="G67" i="1" s="1"/>
  <c r="K67" i="1" s="1"/>
  <c r="Q67" i="1"/>
  <c r="E60" i="1"/>
  <c r="F60" i="1" s="1"/>
  <c r="G60" i="1" s="1"/>
  <c r="K60" i="1" s="1"/>
  <c r="Q60" i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E38" i="1"/>
  <c r="F38" i="1" s="1"/>
  <c r="G38" i="1" s="1"/>
  <c r="K38" i="1" s="1"/>
  <c r="E39" i="1"/>
  <c r="F39" i="1" s="1"/>
  <c r="G39" i="1" s="1"/>
  <c r="K39" i="1" s="1"/>
  <c r="E40" i="1"/>
  <c r="F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/>
  <c r="G57" i="1" s="1"/>
  <c r="K57" i="1" s="1"/>
  <c r="E58" i="1"/>
  <c r="F58" i="1" s="1"/>
  <c r="G58" i="1" s="1"/>
  <c r="K58" i="1" s="1"/>
  <c r="E59" i="1"/>
  <c r="F59" i="1"/>
  <c r="G59" i="1" s="1"/>
  <c r="K59" i="1" s="1"/>
  <c r="E61" i="1"/>
  <c r="F61" i="1"/>
  <c r="G61" i="1" s="1"/>
  <c r="K61" i="1" s="1"/>
  <c r="E62" i="1"/>
  <c r="F62" i="1" s="1"/>
  <c r="G62" i="1" s="1"/>
  <c r="K62" i="1" s="1"/>
  <c r="E63" i="1"/>
  <c r="F63" i="1"/>
  <c r="G63" i="1" s="1"/>
  <c r="K63" i="1" s="1"/>
  <c r="D11" i="1"/>
  <c r="D12" i="1"/>
  <c r="Q62" i="1"/>
  <c r="Q63" i="1"/>
  <c r="Q61" i="1"/>
  <c r="D13" i="1"/>
  <c r="Q58" i="1"/>
  <c r="D9" i="1"/>
  <c r="C9" i="1"/>
  <c r="C22" i="1"/>
  <c r="E22" i="1" s="1"/>
  <c r="F22" i="1" s="1"/>
  <c r="G22" i="1" s="1"/>
  <c r="I22" i="1" s="1"/>
  <c r="E21" i="1"/>
  <c r="F21" i="1"/>
  <c r="G21" i="1" s="1"/>
  <c r="K21" i="1" s="1"/>
  <c r="E23" i="1"/>
  <c r="F23" i="1" s="1"/>
  <c r="E24" i="1"/>
  <c r="F24" i="1"/>
  <c r="G24" i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E32" i="1"/>
  <c r="F32" i="1" s="1"/>
  <c r="E33" i="1"/>
  <c r="F33" i="1" s="1"/>
  <c r="G33" i="1" s="1"/>
  <c r="K33" i="1" s="1"/>
  <c r="Q28" i="1"/>
  <c r="Q27" i="1"/>
  <c r="Q56" i="1"/>
  <c r="Q55" i="1"/>
  <c r="Q29" i="1"/>
  <c r="Q50" i="1"/>
  <c r="Q48" i="1"/>
  <c r="Q35" i="1"/>
  <c r="Q36" i="1"/>
  <c r="Q41" i="1"/>
  <c r="Q34" i="1"/>
  <c r="Q42" i="1"/>
  <c r="Q49" i="1"/>
  <c r="Q43" i="1"/>
  <c r="Q54" i="1"/>
  <c r="Q59" i="1"/>
  <c r="Q21" i="1"/>
  <c r="Q23" i="1"/>
  <c r="Q24" i="1"/>
  <c r="Q25" i="1"/>
  <c r="Q26" i="1"/>
  <c r="Q30" i="1"/>
  <c r="Q31" i="1"/>
  <c r="Q32" i="1"/>
  <c r="Q33" i="1"/>
  <c r="Q37" i="1"/>
  <c r="Q38" i="1"/>
  <c r="Q39" i="1"/>
  <c r="Q40" i="1"/>
  <c r="Q44" i="1"/>
  <c r="Q45" i="1"/>
  <c r="Q46" i="1"/>
  <c r="Q47" i="1"/>
  <c r="Q51" i="1"/>
  <c r="Q52" i="1"/>
  <c r="Q53" i="1"/>
  <c r="Q57" i="1"/>
  <c r="A22" i="1"/>
  <c r="F16" i="1"/>
  <c r="F17" i="1" s="1"/>
  <c r="C17" i="1"/>
  <c r="Q22" i="1" l="1"/>
  <c r="P37" i="1"/>
  <c r="W23" i="1"/>
  <c r="W10" i="1"/>
  <c r="W17" i="1"/>
  <c r="W16" i="1"/>
  <c r="P61" i="1"/>
  <c r="R61" i="1" s="1"/>
  <c r="T61" i="1" s="1"/>
  <c r="P35" i="1"/>
  <c r="R35" i="1" s="1"/>
  <c r="T35" i="1" s="1"/>
  <c r="G32" i="1"/>
  <c r="K32" i="1" s="1"/>
  <c r="P32" i="1"/>
  <c r="G31" i="1"/>
  <c r="K31" i="1" s="1"/>
  <c r="P31" i="1"/>
  <c r="P23" i="1"/>
  <c r="G23" i="1"/>
  <c r="K23" i="1" s="1"/>
  <c r="G40" i="1"/>
  <c r="K40" i="1" s="1"/>
  <c r="P40" i="1"/>
  <c r="R40" i="1" s="1"/>
  <c r="T40" i="1" s="1"/>
  <c r="G45" i="1"/>
  <c r="K45" i="1" s="1"/>
  <c r="P45" i="1"/>
  <c r="G37" i="1"/>
  <c r="K37" i="1" s="1"/>
  <c r="P49" i="1"/>
  <c r="R49" i="1" s="1"/>
  <c r="T49" i="1" s="1"/>
  <c r="D15" i="1"/>
  <c r="C19" i="1" s="1"/>
  <c r="P55" i="1"/>
  <c r="R55" i="1" s="1"/>
  <c r="T55" i="1" s="1"/>
  <c r="P25" i="1"/>
  <c r="R25" i="1" s="1"/>
  <c r="T25" i="1" s="1"/>
  <c r="W18" i="1"/>
  <c r="P41" i="1"/>
  <c r="R41" i="1" s="1"/>
  <c r="T41" i="1" s="1"/>
  <c r="P26" i="1"/>
  <c r="R26" i="1" s="1"/>
  <c r="T26" i="1" s="1"/>
  <c r="P65" i="1"/>
  <c r="R65" i="1" s="1"/>
  <c r="T65" i="1" s="1"/>
  <c r="W5" i="1"/>
  <c r="W19" i="1"/>
  <c r="W4" i="1"/>
  <c r="W6" i="1"/>
  <c r="P47" i="1"/>
  <c r="R47" i="1" s="1"/>
  <c r="T47" i="1" s="1"/>
  <c r="W7" i="1"/>
  <c r="P60" i="1"/>
  <c r="R60" i="1" s="1"/>
  <c r="T60" i="1" s="1"/>
  <c r="W9" i="1"/>
  <c r="P59" i="1"/>
  <c r="R59" i="1" s="1"/>
  <c r="T59" i="1" s="1"/>
  <c r="P52" i="1"/>
  <c r="R52" i="1" s="1"/>
  <c r="T52" i="1" s="1"/>
  <c r="P57" i="1"/>
  <c r="R57" i="1" s="1"/>
  <c r="T57" i="1" s="1"/>
  <c r="W15" i="1"/>
  <c r="P34" i="1"/>
  <c r="R34" i="1" s="1"/>
  <c r="T34" i="1" s="1"/>
  <c r="W13" i="1"/>
  <c r="W24" i="1"/>
  <c r="W25" i="1"/>
  <c r="W11" i="1"/>
  <c r="P33" i="1"/>
  <c r="R33" i="1" s="1"/>
  <c r="T33" i="1" s="1"/>
  <c r="W14" i="1"/>
  <c r="P64" i="1"/>
  <c r="R64" i="1" s="1"/>
  <c r="T64" i="1" s="1"/>
  <c r="P51" i="1"/>
  <c r="R51" i="1" s="1"/>
  <c r="T51" i="1" s="1"/>
  <c r="P62" i="1"/>
  <c r="R62" i="1" s="1"/>
  <c r="T62" i="1" s="1"/>
  <c r="P27" i="1"/>
  <c r="R27" i="1" s="1"/>
  <c r="T27" i="1" s="1"/>
  <c r="P36" i="1"/>
  <c r="R36" i="1" s="1"/>
  <c r="T36" i="1" s="1"/>
  <c r="W3" i="1"/>
  <c r="P43" i="1"/>
  <c r="R43" i="1" s="1"/>
  <c r="T43" i="1" s="1"/>
  <c r="P67" i="1"/>
  <c r="R67" i="1" s="1"/>
  <c r="T67" i="1" s="1"/>
  <c r="W12" i="1"/>
  <c r="P30" i="1"/>
  <c r="R30" i="1" s="1"/>
  <c r="T30" i="1" s="1"/>
  <c r="P48" i="1"/>
  <c r="R48" i="1" s="1"/>
  <c r="T48" i="1" s="1"/>
  <c r="P39" i="1"/>
  <c r="R39" i="1" s="1"/>
  <c r="T39" i="1" s="1"/>
  <c r="W31" i="1"/>
  <c r="P53" i="1"/>
  <c r="R53" i="1" s="1"/>
  <c r="T53" i="1" s="1"/>
  <c r="P50" i="1"/>
  <c r="R50" i="1" s="1"/>
  <c r="T50" i="1" s="1"/>
  <c r="W21" i="1"/>
  <c r="W2" i="1"/>
  <c r="P38" i="1"/>
  <c r="R38" i="1" s="1"/>
  <c r="T38" i="1" s="1"/>
  <c r="P42" i="1"/>
  <c r="R42" i="1" s="1"/>
  <c r="T42" i="1" s="1"/>
  <c r="P29" i="1"/>
  <c r="R29" i="1" s="1"/>
  <c r="T29" i="1" s="1"/>
  <c r="P63" i="1"/>
  <c r="R63" i="1" s="1"/>
  <c r="T63" i="1" s="1"/>
  <c r="P22" i="1"/>
  <c r="R22" i="1" s="1"/>
  <c r="T22" i="1" s="1"/>
  <c r="W8" i="1"/>
  <c r="P58" i="1"/>
  <c r="R58" i="1" s="1"/>
  <c r="T58" i="1" s="1"/>
  <c r="W22" i="1"/>
  <c r="W32" i="1"/>
  <c r="W30" i="1"/>
  <c r="W20" i="1"/>
  <c r="P24" i="1"/>
  <c r="R24" i="1" s="1"/>
  <c r="T24" i="1" s="1"/>
  <c r="W26" i="1"/>
  <c r="P54" i="1"/>
  <c r="R54" i="1" s="1"/>
  <c r="T54" i="1" s="1"/>
  <c r="P21" i="1"/>
  <c r="R21" i="1" s="1"/>
  <c r="T21" i="1" s="1"/>
  <c r="D16" i="1"/>
  <c r="D19" i="1" s="1"/>
  <c r="P56" i="1"/>
  <c r="R56" i="1" s="1"/>
  <c r="T56" i="1" s="1"/>
  <c r="P28" i="1"/>
  <c r="R28" i="1" s="1"/>
  <c r="T28" i="1" s="1"/>
  <c r="P44" i="1"/>
  <c r="R44" i="1" s="1"/>
  <c r="T44" i="1" s="1"/>
  <c r="P66" i="1"/>
  <c r="R66" i="1" s="1"/>
  <c r="T66" i="1" s="1"/>
  <c r="P46" i="1"/>
  <c r="R46" i="1" s="1"/>
  <c r="T46" i="1" s="1"/>
  <c r="C11" i="1"/>
  <c r="C12" i="1"/>
  <c r="R31" i="1" l="1"/>
  <c r="T31" i="1" s="1"/>
  <c r="R23" i="1"/>
  <c r="T23" i="1" s="1"/>
  <c r="R37" i="1"/>
  <c r="T37" i="1" s="1"/>
  <c r="R45" i="1"/>
  <c r="T45" i="1" s="1"/>
  <c r="R32" i="1"/>
  <c r="T32" i="1" s="1"/>
  <c r="C16" i="1"/>
  <c r="D18" i="1" s="1"/>
  <c r="O31" i="1"/>
  <c r="O34" i="1"/>
  <c r="O21" i="1"/>
  <c r="O45" i="1"/>
  <c r="O64" i="1"/>
  <c r="O39" i="1"/>
  <c r="O43" i="1"/>
  <c r="O33" i="1"/>
  <c r="O51" i="1"/>
  <c r="O47" i="1"/>
  <c r="O27" i="1"/>
  <c r="O30" i="1"/>
  <c r="O60" i="1"/>
  <c r="C15" i="1"/>
  <c r="C18" i="1" s="1"/>
  <c r="O48" i="1"/>
  <c r="O35" i="1"/>
  <c r="O57" i="1"/>
  <c r="O52" i="1"/>
  <c r="O41" i="1"/>
  <c r="O54" i="1"/>
  <c r="O66" i="1"/>
  <c r="O40" i="1"/>
  <c r="O46" i="1"/>
  <c r="O58" i="1"/>
  <c r="O24" i="1"/>
  <c r="O65" i="1"/>
  <c r="O32" i="1"/>
  <c r="O28" i="1"/>
  <c r="O56" i="1"/>
  <c r="O29" i="1"/>
  <c r="O61" i="1"/>
  <c r="O59" i="1"/>
  <c r="O49" i="1"/>
  <c r="O38" i="1"/>
  <c r="O26" i="1"/>
  <c r="O42" i="1"/>
  <c r="O53" i="1"/>
  <c r="O67" i="1"/>
  <c r="O44" i="1"/>
  <c r="O55" i="1"/>
  <c r="O25" i="1"/>
  <c r="O23" i="1"/>
  <c r="O50" i="1"/>
  <c r="O62" i="1"/>
  <c r="O36" i="1"/>
  <c r="O22" i="1"/>
  <c r="O63" i="1"/>
  <c r="O37" i="1"/>
  <c r="E14" i="1" l="1"/>
  <c r="F18" i="1"/>
  <c r="F19" i="1" s="1"/>
</calcChain>
</file>

<file path=xl/sharedStrings.xml><?xml version="1.0" encoding="utf-8"?>
<sst xmlns="http://schemas.openxmlformats.org/spreadsheetml/2006/main" count="133" uniqueCount="61">
  <si>
    <t>OEJV 0198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</si>
  <si>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</si>
  <si>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</si>
  <si>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</si>
  <si>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</si>
  <si>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</si>
  <si>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</si>
  <si>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</si>
  <si>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</si>
  <si>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</si>
  <si>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</si>
  <si>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</si>
  <si>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</si>
  <si>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</si>
  <si>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</si>
  <si>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</si>
  <si>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</si>
  <si>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</si>
  <si>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</si>
  <si>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</si>
  <si>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</si>
  <si>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</si>
  <si>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</si>
  <si>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</si>
  <si>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</si>
  <si>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</si>
  <si>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</si>
  <si>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</si>
  <si>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</si>
  <si>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</si>
  <si>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</si>
  <si>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</si>
  <si>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</si>
  <si>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</si>
  <si>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</si>
  <si>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</si>
  <si>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</si>
  <si>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</si>
  <si>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</si>
  <si>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</si>
  <si>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</si>
  <si>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RV Gru</t>
  </si>
  <si>
    <t>RV Gru / GSC 8446-0662</t>
  </si>
  <si>
    <t>EA</t>
  </si>
  <si>
    <t>Kreiner</t>
  </si>
  <si>
    <t>2013JAVSO..41..122</t>
  </si>
  <si>
    <t>II</t>
  </si>
  <si>
    <t>OEJV 0160</t>
  </si>
  <si>
    <t>I</t>
  </si>
  <si>
    <t>Pavlov 2015, pc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</si>
  <si>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</si>
  <si>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</si>
  <si>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</si>
  <si>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</si>
  <si>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</si>
  <si>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0165</t>
  </si>
  <si>
    <t>G8446-0662</t>
  </si>
  <si>
    <t>vis</t>
  </si>
  <si>
    <t>OEJV 0179</t>
  </si>
  <si>
    <t>JAVSO..44…26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</si>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</sst>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0" xfId="0" applyFont="1" applyFill="1" applyAlignment="1"/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1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3" fillId="0" borderId="0" xfId="0" applyFont="1" applyAlignment="1"/>
    <xf numFmtId="14" fontId="14" fillId="0" borderId="0" xfId="0" applyNumberFormat="1" applyFont="1" applyAlignment="1"/>
    <xf numFmtId="0" fontId="14" fillId="0" borderId="0" xfId="0" applyFont="1" applyAlignment="1"/>
    <xf numFmtId="0" fontId="18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Border="1" applyAlignment="1">
      <alignment horizontal="center" vertical="top" wrapText="1"/>
    </xf>
    <xf numFmtId="0" fontId="19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8" fillId="0" borderId="16" xfId="0" applyFont="1" applyBorder="1" applyAlignment="1"/>
    <xf numFmtId="0" fontId="38" fillId="0" borderId="17" xfId="0" applyFont="1" applyBorder="1" applyAlignment="1"/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5" fillId="0" borderId="0" xfId="0" applyFont="1">
      <alignment vertical="top"/>
    </xf>
    <xf numFmtId="0" fontId="37" fillId="0" borderId="0" xfId="0" applyFont="1" applyAlignment="1">
      <alignment horizontal="left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41" applyFont="1" applyAlignment="1">
      <alignment horizontal="left"/>
    </xf>
    <xf numFmtId="0" fontId="37" fillId="0" borderId="0" xfId="41" applyFont="1" applyAlignment="1">
      <alignment horizontal="center"/>
    </xf>
    <xf numFmtId="0" fontId="35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Gru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25335</c:v>
                </c:pt>
                <c:pt idx="44">
                  <c:v>25395.5</c:v>
                </c:pt>
                <c:pt idx="45">
                  <c:v>25396</c:v>
                </c:pt>
                <c:pt idx="46">
                  <c:v>25692.5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E-4FC6-A145-997186A792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25335</c:v>
                </c:pt>
                <c:pt idx="44">
                  <c:v>25395.5</c:v>
                </c:pt>
                <c:pt idx="45">
                  <c:v>25396</c:v>
                </c:pt>
                <c:pt idx="46">
                  <c:v>25692.5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E-4FC6-A145-997186A792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25335</c:v>
                </c:pt>
                <c:pt idx="44">
                  <c:v>25395.5</c:v>
                </c:pt>
                <c:pt idx="45">
                  <c:v>25396</c:v>
                </c:pt>
                <c:pt idx="46">
                  <c:v>25692.5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E-4FC6-A145-997186A792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25335</c:v>
                </c:pt>
                <c:pt idx="44">
                  <c:v>25395.5</c:v>
                </c:pt>
                <c:pt idx="45">
                  <c:v>25396</c:v>
                </c:pt>
                <c:pt idx="46">
                  <c:v>25692.5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-3.550680004991591E-3</c:v>
                </c:pt>
                <c:pt idx="2">
                  <c:v>6.5449099995021243E-2</c:v>
                </c:pt>
                <c:pt idx="3">
                  <c:v>6.5599099994869903E-2</c:v>
                </c:pt>
                <c:pt idx="4">
                  <c:v>6.584909999219235E-2</c:v>
                </c:pt>
                <c:pt idx="5">
                  <c:v>6.8949099993915297E-2</c:v>
                </c:pt>
                <c:pt idx="6">
                  <c:v>7.0369099994422868E-2</c:v>
                </c:pt>
                <c:pt idx="7">
                  <c:v>7.0519099994271528E-2</c:v>
                </c:pt>
                <c:pt idx="8">
                  <c:v>7.0769099991593976E-2</c:v>
                </c:pt>
                <c:pt idx="9">
                  <c:v>6.6200919995026197E-2</c:v>
                </c:pt>
                <c:pt idx="10">
                  <c:v>6.648091999522876E-2</c:v>
                </c:pt>
                <c:pt idx="11">
                  <c:v>6.6510919998108875E-2</c:v>
                </c:pt>
                <c:pt idx="12">
                  <c:v>6.9580919996951707E-2</c:v>
                </c:pt>
                <c:pt idx="13">
                  <c:v>7.112092000170378E-2</c:v>
                </c:pt>
                <c:pt idx="14">
                  <c:v>7.1400920001906343E-2</c:v>
                </c:pt>
                <c:pt idx="15">
                  <c:v>7.14309199975105E-2</c:v>
                </c:pt>
                <c:pt idx="16">
                  <c:v>6.5392739998060279E-2</c:v>
                </c:pt>
                <c:pt idx="17">
                  <c:v>6.5582739996898454E-2</c:v>
                </c:pt>
                <c:pt idx="18">
                  <c:v>6.5922739995585289E-2</c:v>
                </c:pt>
                <c:pt idx="19">
                  <c:v>6.8792739992204588E-2</c:v>
                </c:pt>
                <c:pt idx="20">
                  <c:v>7.0312739997461904E-2</c:v>
                </c:pt>
                <c:pt idx="21">
                  <c:v>7.0502739996300079E-2</c:v>
                </c:pt>
                <c:pt idx="22">
                  <c:v>7.0842739994986914E-2</c:v>
                </c:pt>
                <c:pt idx="23">
                  <c:v>6.5554559994779993E-2</c:v>
                </c:pt>
                <c:pt idx="24">
                  <c:v>6.5924559996346943E-2</c:v>
                </c:pt>
                <c:pt idx="25">
                  <c:v>6.6014559990435373E-2</c:v>
                </c:pt>
                <c:pt idx="26">
                  <c:v>6.8914559989934787E-2</c:v>
                </c:pt>
                <c:pt idx="27">
                  <c:v>7.0474559994181618E-2</c:v>
                </c:pt>
                <c:pt idx="28">
                  <c:v>7.0844559995748568E-2</c:v>
                </c:pt>
                <c:pt idx="29">
                  <c:v>7.0934559989836998E-2</c:v>
                </c:pt>
                <c:pt idx="30">
                  <c:v>6.6440139999031089E-2</c:v>
                </c:pt>
                <c:pt idx="31">
                  <c:v>6.6500139997515362E-2</c:v>
                </c:pt>
                <c:pt idx="32">
                  <c:v>6.6520139997010119E-2</c:v>
                </c:pt>
                <c:pt idx="33">
                  <c:v>7.1260139993682969E-2</c:v>
                </c:pt>
                <c:pt idx="34">
                  <c:v>7.1320139999443199E-2</c:v>
                </c:pt>
                <c:pt idx="35">
                  <c:v>7.1340139998937957E-2</c:v>
                </c:pt>
                <c:pt idx="36">
                  <c:v>7.1440139996411745E-2</c:v>
                </c:pt>
                <c:pt idx="37">
                  <c:v>0.10337425999750849</c:v>
                </c:pt>
                <c:pt idx="38">
                  <c:v>8.9266939998196904E-2</c:v>
                </c:pt>
                <c:pt idx="39">
                  <c:v>0.12273615985031938</c:v>
                </c:pt>
                <c:pt idx="40">
                  <c:v>0.12273615999583853</c:v>
                </c:pt>
                <c:pt idx="41">
                  <c:v>9.1680259996792302E-2</c:v>
                </c:pt>
                <c:pt idx="42">
                  <c:v>9.1422079996846151E-2</c:v>
                </c:pt>
                <c:pt idx="43">
                  <c:v>0.13876940000045579</c:v>
                </c:pt>
                <c:pt idx="44">
                  <c:v>0.13965961999201681</c:v>
                </c:pt>
                <c:pt idx="45">
                  <c:v>0.13966144000005443</c:v>
                </c:pt>
                <c:pt idx="46">
                  <c:v>0.14427070000238018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E-4FC6-A145-997186A792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25335</c:v>
                </c:pt>
                <c:pt idx="44">
                  <c:v>25395.5</c:v>
                </c:pt>
                <c:pt idx="45">
                  <c:v>25396</c:v>
                </c:pt>
                <c:pt idx="46">
                  <c:v>25692.5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9E-4FC6-A145-997186A792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25335</c:v>
                </c:pt>
                <c:pt idx="44">
                  <c:v>25395.5</c:v>
                </c:pt>
                <c:pt idx="45">
                  <c:v>25396</c:v>
                </c:pt>
                <c:pt idx="46">
                  <c:v>25692.5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9E-4FC6-A145-997186A792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5.1999999999999995E-4</c:v>
                  </c:pt>
                  <c:pt idx="44">
                    <c:v>8.8999999999999995E-4</c:v>
                  </c:pt>
                  <c:pt idx="45">
                    <c:v>5.9999999999999995E-4</c:v>
                  </c:pt>
                  <c:pt idx="46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25335</c:v>
                </c:pt>
                <c:pt idx="44">
                  <c:v>25395.5</c:v>
                </c:pt>
                <c:pt idx="45">
                  <c:v>25396</c:v>
                </c:pt>
                <c:pt idx="46">
                  <c:v>25692.5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9E-4FC6-A145-997186A792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25335</c:v>
                </c:pt>
                <c:pt idx="44">
                  <c:v>25395.5</c:v>
                </c:pt>
                <c:pt idx="45">
                  <c:v>25396</c:v>
                </c:pt>
                <c:pt idx="46">
                  <c:v>25692.5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-6.9908216594537359E-2</c:v>
                </c:pt>
                <c:pt idx="1">
                  <c:v>-3.3513011474441232E-2</c:v>
                </c:pt>
                <c:pt idx="2">
                  <c:v>7.0260515723331474E-2</c:v>
                </c:pt>
                <c:pt idx="3">
                  <c:v>7.0260515723331474E-2</c:v>
                </c:pt>
                <c:pt idx="4">
                  <c:v>7.0260515723331474E-2</c:v>
                </c:pt>
                <c:pt idx="5">
                  <c:v>7.0260515723331474E-2</c:v>
                </c:pt>
                <c:pt idx="6">
                  <c:v>7.0260515723331474E-2</c:v>
                </c:pt>
                <c:pt idx="7">
                  <c:v>7.0260515723331474E-2</c:v>
                </c:pt>
                <c:pt idx="8">
                  <c:v>7.0260515723331474E-2</c:v>
                </c:pt>
                <c:pt idx="9">
                  <c:v>7.0263862716629252E-2</c:v>
                </c:pt>
                <c:pt idx="10">
                  <c:v>7.0263862716629252E-2</c:v>
                </c:pt>
                <c:pt idx="11">
                  <c:v>7.0263862716629252E-2</c:v>
                </c:pt>
                <c:pt idx="12">
                  <c:v>7.0263862716629252E-2</c:v>
                </c:pt>
                <c:pt idx="13">
                  <c:v>7.0263862716629252E-2</c:v>
                </c:pt>
                <c:pt idx="14">
                  <c:v>7.0263862716629252E-2</c:v>
                </c:pt>
                <c:pt idx="15">
                  <c:v>7.0263862716629252E-2</c:v>
                </c:pt>
                <c:pt idx="16">
                  <c:v>7.0267209709927045E-2</c:v>
                </c:pt>
                <c:pt idx="17">
                  <c:v>7.0267209709927045E-2</c:v>
                </c:pt>
                <c:pt idx="18">
                  <c:v>7.0267209709927045E-2</c:v>
                </c:pt>
                <c:pt idx="19">
                  <c:v>7.0267209709927045E-2</c:v>
                </c:pt>
                <c:pt idx="20">
                  <c:v>7.0267209709927045E-2</c:v>
                </c:pt>
                <c:pt idx="21">
                  <c:v>7.0267209709927045E-2</c:v>
                </c:pt>
                <c:pt idx="22">
                  <c:v>7.0267209709927045E-2</c:v>
                </c:pt>
                <c:pt idx="23">
                  <c:v>7.0270556703224824E-2</c:v>
                </c:pt>
                <c:pt idx="24">
                  <c:v>7.0270556703224824E-2</c:v>
                </c:pt>
                <c:pt idx="25">
                  <c:v>7.0270556703224824E-2</c:v>
                </c:pt>
                <c:pt idx="26">
                  <c:v>7.0270556703224824E-2</c:v>
                </c:pt>
                <c:pt idx="27">
                  <c:v>7.0270556703224824E-2</c:v>
                </c:pt>
                <c:pt idx="28">
                  <c:v>7.0270556703224824E-2</c:v>
                </c:pt>
                <c:pt idx="29">
                  <c:v>7.0270556703224824E-2</c:v>
                </c:pt>
                <c:pt idx="30">
                  <c:v>7.050149924077187E-2</c:v>
                </c:pt>
                <c:pt idx="31">
                  <c:v>7.050149924077187E-2</c:v>
                </c:pt>
                <c:pt idx="32">
                  <c:v>7.050149924077187E-2</c:v>
                </c:pt>
                <c:pt idx="33">
                  <c:v>7.050149924077187E-2</c:v>
                </c:pt>
                <c:pt idx="34">
                  <c:v>7.050149924077187E-2</c:v>
                </c:pt>
                <c:pt idx="35">
                  <c:v>7.050149924077187E-2</c:v>
                </c:pt>
                <c:pt idx="36">
                  <c:v>7.050149924077187E-2</c:v>
                </c:pt>
                <c:pt idx="37">
                  <c:v>8.1432779351332293E-2</c:v>
                </c:pt>
                <c:pt idx="38">
                  <c:v>8.6366247472264943E-2</c:v>
                </c:pt>
                <c:pt idx="39">
                  <c:v>8.660388399640756E-2</c:v>
                </c:pt>
                <c:pt idx="40">
                  <c:v>8.660388399640756E-2</c:v>
                </c:pt>
                <c:pt idx="41">
                  <c:v>0.11758030696739245</c:v>
                </c:pt>
                <c:pt idx="42">
                  <c:v>0.11758365396069022</c:v>
                </c:pt>
                <c:pt idx="43">
                  <c:v>0.13607913892424101</c:v>
                </c:pt>
                <c:pt idx="44">
                  <c:v>0.13648412511327279</c:v>
                </c:pt>
                <c:pt idx="45">
                  <c:v>0.13648747210657058</c:v>
                </c:pt>
                <c:pt idx="46">
                  <c:v>0.13847223913215612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9E-4FC6-A145-997186A792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25335</c:v>
                </c:pt>
                <c:pt idx="44">
                  <c:v>25395.5</c:v>
                </c:pt>
                <c:pt idx="45">
                  <c:v>25396</c:v>
                </c:pt>
                <c:pt idx="46">
                  <c:v>25692.5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9E-4FC6-A145-997186A792A8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Active!$V$2:$V$29</c:f>
              <c:numCache>
                <c:formatCode>General</c:formatCode>
                <c:ptCount val="28"/>
                <c:pt idx="0">
                  <c:v>-7000</c:v>
                </c:pt>
                <c:pt idx="1">
                  <c:v>-6000</c:v>
                </c:pt>
                <c:pt idx="2">
                  <c:v>-5000</c:v>
                </c:pt>
                <c:pt idx="3">
                  <c:v>-4000</c:v>
                </c:pt>
                <c:pt idx="4">
                  <c:v>-3000</c:v>
                </c:pt>
                <c:pt idx="5">
                  <c:v>-2000</c:v>
                </c:pt>
                <c:pt idx="6">
                  <c:v>-1000</c:v>
                </c:pt>
                <c:pt idx="7">
                  <c:v>0</c:v>
                </c:pt>
                <c:pt idx="8">
                  <c:v>1000</c:v>
                </c:pt>
                <c:pt idx="9">
                  <c:v>2000</c:v>
                </c:pt>
                <c:pt idx="10">
                  <c:v>3000</c:v>
                </c:pt>
                <c:pt idx="11">
                  <c:v>4000</c:v>
                </c:pt>
                <c:pt idx="12">
                  <c:v>5000</c:v>
                </c:pt>
                <c:pt idx="13">
                  <c:v>6000</c:v>
                </c:pt>
                <c:pt idx="14">
                  <c:v>7000</c:v>
                </c:pt>
                <c:pt idx="15">
                  <c:v>8000</c:v>
                </c:pt>
                <c:pt idx="16">
                  <c:v>9000</c:v>
                </c:pt>
                <c:pt idx="17">
                  <c:v>10000</c:v>
                </c:pt>
                <c:pt idx="18">
                  <c:v>11000</c:v>
                </c:pt>
                <c:pt idx="19">
                  <c:v>12000</c:v>
                </c:pt>
                <c:pt idx="20">
                  <c:v>13000</c:v>
                </c:pt>
                <c:pt idx="21">
                  <c:v>14000</c:v>
                </c:pt>
                <c:pt idx="22">
                  <c:v>15000</c:v>
                </c:pt>
                <c:pt idx="23">
                  <c:v>16000</c:v>
                </c:pt>
                <c:pt idx="24">
                  <c:v>17000</c:v>
                </c:pt>
              </c:numCache>
            </c:numRef>
          </c:xVal>
          <c:yVal>
            <c:numRef>
              <c:f>Active!$W$2:$W$29</c:f>
              <c:numCache>
                <c:formatCode>General</c:formatCode>
                <c:ptCount val="28"/>
                <c:pt idx="0">
                  <c:v>1.4728052391543064E-3</c:v>
                </c:pt>
                <c:pt idx="1">
                  <c:v>-9.5685825255355759E-4</c:v>
                </c:pt>
                <c:pt idx="2">
                  <c:v>-2.8894763974393611E-3</c:v>
                </c:pt>
                <c:pt idx="3">
                  <c:v>-4.3250491955031042E-3</c:v>
                </c:pt>
                <c:pt idx="4">
                  <c:v>-5.2635766467447878E-3</c:v>
                </c:pt>
                <c:pt idx="5">
                  <c:v>-5.7050587511644092E-3</c:v>
                </c:pt>
                <c:pt idx="6">
                  <c:v>-5.6494955087619718E-3</c:v>
                </c:pt>
                <c:pt idx="7">
                  <c:v>-5.0968869195374723E-3</c:v>
                </c:pt>
                <c:pt idx="8">
                  <c:v>-4.0472329834909124E-3</c:v>
                </c:pt>
                <c:pt idx="9">
                  <c:v>-2.5005337006222925E-3</c:v>
                </c:pt>
                <c:pt idx="10">
                  <c:v>-4.5678907093161126E-4</c:v>
                </c:pt>
                <c:pt idx="11">
                  <c:v>2.0840009055811304E-3</c:v>
                </c:pt>
                <c:pt idx="12">
                  <c:v>5.1218362289159325E-3</c:v>
                </c:pt>
                <c:pt idx="13">
                  <c:v>8.6567168990727954E-3</c:v>
                </c:pt>
                <c:pt idx="14">
                  <c:v>1.2688642916051719E-2</c:v>
                </c:pt>
                <c:pt idx="15">
                  <c:v>1.7217614279852703E-2</c:v>
                </c:pt>
                <c:pt idx="16">
                  <c:v>2.2243630990475747E-2</c:v>
                </c:pt>
                <c:pt idx="17">
                  <c:v>2.7766693047920853E-2</c:v>
                </c:pt>
                <c:pt idx="18">
                  <c:v>3.3786800452188015E-2</c:v>
                </c:pt>
                <c:pt idx="19">
                  <c:v>4.0303953203277246E-2</c:v>
                </c:pt>
                <c:pt idx="20">
                  <c:v>4.7318151301188528E-2</c:v>
                </c:pt>
                <c:pt idx="21">
                  <c:v>5.4829394745921883E-2</c:v>
                </c:pt>
                <c:pt idx="22">
                  <c:v>6.283768353747729E-2</c:v>
                </c:pt>
                <c:pt idx="23">
                  <c:v>7.1343017675854756E-2</c:v>
                </c:pt>
                <c:pt idx="24">
                  <c:v>8.034539716105428E-2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9E-4FC6-A145-997186A7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</c:scatterChart>
      <c:valAx>
        <c:axId val="6901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E4716E3-01A5-F454-E8D0-96FD31F2D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6"/>
  <sheetViews>
    <sheetView tabSelected="1" workbookViewId="0">
      <pane xSplit="14" ySplit="21" topLeftCell="O53" activePane="bottomRight" state="frozen"/>
      <selection pane="topRight" activeCell="O1" sqref="O1"/>
      <selection pane="bottomLeft" activeCell="A22" sqref="A22"/>
      <selection pane="bottomRight" activeCell="C18" sqref="C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42</v>
      </c>
      <c r="V1" s="4" t="s">
        <v>13</v>
      </c>
      <c r="W1" s="6" t="s">
        <v>24</v>
      </c>
    </row>
    <row r="2" spans="1:23" x14ac:dyDescent="0.2">
      <c r="A2" t="s">
        <v>26</v>
      </c>
      <c r="B2" t="s">
        <v>43</v>
      </c>
      <c r="C2" s="3"/>
      <c r="D2" s="3"/>
      <c r="E2" s="10" t="s">
        <v>41</v>
      </c>
      <c r="F2" t="s">
        <v>56</v>
      </c>
      <c r="V2" s="39">
        <v>-7000</v>
      </c>
      <c r="W2" s="39">
        <f t="shared" ref="W2:W26" si="0">+D$11+D$12*V2+D$13*V2^2</f>
        <v>1.4728052391543064E-3</v>
      </c>
    </row>
    <row r="3" spans="1:23" ht="13.5" thickBot="1" x14ac:dyDescent="0.25">
      <c r="V3" s="39">
        <v>-6000</v>
      </c>
      <c r="W3" s="39">
        <f t="shared" si="0"/>
        <v>-9.5685825255355759E-4</v>
      </c>
    </row>
    <row r="4" spans="1:23" ht="14.25" thickTop="1" thickBot="1" x14ac:dyDescent="0.25">
      <c r="A4" s="5" t="s">
        <v>4</v>
      </c>
      <c r="C4" s="24" t="s">
        <v>40</v>
      </c>
      <c r="D4" s="25" t="s">
        <v>40</v>
      </c>
      <c r="V4" s="39">
        <v>-5000</v>
      </c>
      <c r="W4" s="39">
        <f t="shared" si="0"/>
        <v>-2.8894763974393611E-3</v>
      </c>
    </row>
    <row r="5" spans="1:23" ht="13.5" thickTop="1" x14ac:dyDescent="0.2">
      <c r="A5" s="9" t="s">
        <v>31</v>
      </c>
      <c r="B5" s="10"/>
      <c r="C5" s="11">
        <v>-9.5</v>
      </c>
      <c r="D5" s="10" t="s">
        <v>32</v>
      </c>
      <c r="E5" s="10"/>
      <c r="V5" s="39">
        <v>-4000</v>
      </c>
      <c r="W5" s="39">
        <f t="shared" si="0"/>
        <v>-4.3250491955031042E-3</v>
      </c>
    </row>
    <row r="6" spans="1:23" x14ac:dyDescent="0.2">
      <c r="A6" s="5" t="s">
        <v>5</v>
      </c>
      <c r="V6" s="39">
        <v>-3000</v>
      </c>
      <c r="W6" s="39">
        <f t="shared" si="0"/>
        <v>-5.2635766467447878E-3</v>
      </c>
    </row>
    <row r="7" spans="1:23" x14ac:dyDescent="0.2">
      <c r="A7" t="s">
        <v>6</v>
      </c>
      <c r="C7" s="8">
        <v>52500.283000000003</v>
      </c>
      <c r="D7" s="26" t="s">
        <v>44</v>
      </c>
      <c r="V7" s="39">
        <v>-2000</v>
      </c>
      <c r="W7" s="39">
        <f t="shared" si="0"/>
        <v>-5.7050587511644092E-3</v>
      </c>
    </row>
    <row r="8" spans="1:23" x14ac:dyDescent="0.2">
      <c r="A8" t="s">
        <v>7</v>
      </c>
      <c r="C8" s="8">
        <v>0.25951636</v>
      </c>
      <c r="D8" s="26" t="s">
        <v>44</v>
      </c>
      <c r="V8" s="39">
        <v>-1000</v>
      </c>
      <c r="W8" s="39">
        <f t="shared" si="0"/>
        <v>-5.6494955087619718E-3</v>
      </c>
    </row>
    <row r="9" spans="1:23" x14ac:dyDescent="0.2">
      <c r="A9" s="22" t="s">
        <v>35</v>
      </c>
      <c r="B9" s="23">
        <v>23</v>
      </c>
      <c r="C9" s="20" t="str">
        <f>"F"&amp;B9</f>
        <v>F23</v>
      </c>
      <c r="D9" s="21" t="str">
        <f>"G"&amp;B9</f>
        <v>G23</v>
      </c>
      <c r="V9" s="39">
        <v>0</v>
      </c>
      <c r="W9" s="39">
        <f t="shared" si="0"/>
        <v>-5.0968869195374723E-3</v>
      </c>
    </row>
    <row r="10" spans="1:23" ht="13.5" thickBot="1" x14ac:dyDescent="0.25">
      <c r="A10" s="10"/>
      <c r="B10" s="10"/>
      <c r="C10" s="4" t="s">
        <v>22</v>
      </c>
      <c r="D10" s="4" t="s">
        <v>23</v>
      </c>
      <c r="E10" s="10"/>
      <c r="V10" s="39">
        <v>1000</v>
      </c>
      <c r="W10" s="39">
        <f t="shared" si="0"/>
        <v>-4.0472329834909124E-3</v>
      </c>
    </row>
    <row r="11" spans="1:23" x14ac:dyDescent="0.2">
      <c r="A11" s="10" t="s">
        <v>18</v>
      </c>
      <c r="B11" s="10"/>
      <c r="C11" s="19">
        <f ca="1">INTERCEPT(INDIRECT($D$9):G988,INDIRECT($C$9):F988)</f>
        <v>-3.3513011474441232E-2</v>
      </c>
      <c r="D11" s="3">
        <f>+E11*F11</f>
        <v>-5.0968869195374723E-3</v>
      </c>
      <c r="E11" s="28">
        <v>-5.0968869195374723E-3</v>
      </c>
      <c r="F11">
        <v>1</v>
      </c>
      <c r="V11" s="39">
        <v>2000</v>
      </c>
      <c r="W11" s="39">
        <f t="shared" si="0"/>
        <v>-2.5005337006222925E-3</v>
      </c>
    </row>
    <row r="12" spans="1:23" x14ac:dyDescent="0.2">
      <c r="A12" s="10" t="s">
        <v>19</v>
      </c>
      <c r="B12" s="10"/>
      <c r="C12" s="19">
        <f ca="1">SLOPE(INDIRECT($D$9):G988,INDIRECT($C$9):F988)</f>
        <v>6.6939865955666959E-6</v>
      </c>
      <c r="D12" s="3">
        <f>+E12*F12</f>
        <v>8.011312626355294E-7</v>
      </c>
      <c r="E12" s="29">
        <v>8.0113126263552936E-3</v>
      </c>
      <c r="F12" s="30">
        <v>1E-4</v>
      </c>
      <c r="V12" s="39">
        <v>3000</v>
      </c>
      <c r="W12" s="39">
        <f t="shared" si="0"/>
        <v>-4.5678907093161126E-4</v>
      </c>
    </row>
    <row r="13" spans="1:23" ht="13.5" thickBot="1" x14ac:dyDescent="0.25">
      <c r="A13" s="10" t="s">
        <v>21</v>
      </c>
      <c r="B13" s="10"/>
      <c r="C13" s="3" t="s">
        <v>16</v>
      </c>
      <c r="D13" s="3">
        <f>+E13*F13</f>
        <v>2.4852267341103031E-10</v>
      </c>
      <c r="E13" s="31">
        <v>2.4852267341103032E-2</v>
      </c>
      <c r="F13" s="30">
        <v>1E-8</v>
      </c>
      <c r="V13" s="39">
        <v>4000</v>
      </c>
      <c r="W13" s="39">
        <f t="shared" si="0"/>
        <v>2.0840009055811304E-3</v>
      </c>
    </row>
    <row r="14" spans="1:23" x14ac:dyDescent="0.2">
      <c r="A14" s="10"/>
      <c r="B14" s="10"/>
      <c r="C14" s="10"/>
      <c r="E14">
        <f>SUM(T21:T946)</f>
        <v>1.2721096664328526E-2</v>
      </c>
      <c r="V14" s="39">
        <v>5000</v>
      </c>
      <c r="W14" s="39">
        <f t="shared" si="0"/>
        <v>5.1218362289159325E-3</v>
      </c>
    </row>
    <row r="15" spans="1:23" x14ac:dyDescent="0.2">
      <c r="A15" s="12" t="s">
        <v>20</v>
      </c>
      <c r="B15" s="10"/>
      <c r="C15" s="13">
        <f ca="1">(C7+C11)+(C8+C12)*INT(MAX(F21:F3529))</f>
        <v>59167.915790012143</v>
      </c>
      <c r="D15" s="21">
        <f>+C7+INT(MAX(F21:F1584))*C8+D11+D12*INT(MAX(F21:F4019))+D13*INT(MAX(F21:F4046)^2)</f>
        <v>59167.956857846475</v>
      </c>
      <c r="E15" s="14" t="s">
        <v>37</v>
      </c>
      <c r="F15" s="11">
        <v>1</v>
      </c>
      <c r="V15" s="39">
        <v>6000</v>
      </c>
      <c r="W15" s="39">
        <f t="shared" si="0"/>
        <v>8.6567168990727954E-3</v>
      </c>
    </row>
    <row r="16" spans="1:23" x14ac:dyDescent="0.2">
      <c r="A16" s="16" t="s">
        <v>8</v>
      </c>
      <c r="B16" s="10"/>
      <c r="C16" s="17">
        <f ca="1">+C8+C12</f>
        <v>0.25952305398659559</v>
      </c>
      <c r="D16" s="21">
        <f>+C8+D12+2*D13*MAX(F21:F892)</f>
        <v>0.25952993146883591</v>
      </c>
      <c r="E16" s="14" t="s">
        <v>33</v>
      </c>
      <c r="F16" s="15">
        <f ca="1">NOW()+15018.5+$C$5/24</f>
        <v>59958.782237731481</v>
      </c>
      <c r="V16" s="39">
        <v>7000</v>
      </c>
      <c r="W16" s="39">
        <f t="shared" si="0"/>
        <v>1.2688642916051719E-2</v>
      </c>
    </row>
    <row r="17" spans="1:23" ht="13.5" thickBot="1" x14ac:dyDescent="0.25">
      <c r="A17" s="14" t="s">
        <v>30</v>
      </c>
      <c r="B17" s="10"/>
      <c r="C17" s="10">
        <f>COUNT(C21:C2187)</f>
        <v>47</v>
      </c>
      <c r="E17" s="14" t="s">
        <v>38</v>
      </c>
      <c r="F17" s="15">
        <f ca="1">ROUND(2*(F16-$C$7)/$C$8,0)/2+F15</f>
        <v>28741</v>
      </c>
      <c r="V17" s="39">
        <v>8000</v>
      </c>
      <c r="W17" s="39">
        <f t="shared" si="0"/>
        <v>1.7217614279852703E-2</v>
      </c>
    </row>
    <row r="18" spans="1:23" ht="14.25" thickTop="1" thickBot="1" x14ac:dyDescent="0.25">
      <c r="A18" s="5" t="s">
        <v>50</v>
      </c>
      <c r="C18" s="32">
        <f ca="1">+C15</f>
        <v>59167.915790012143</v>
      </c>
      <c r="D18" s="33">
        <f ca="1">C16</f>
        <v>0.25952305398659559</v>
      </c>
      <c r="E18" s="14" t="s">
        <v>39</v>
      </c>
      <c r="F18" s="21">
        <f ca="1">ROUND(2*(F16-$C$15)/$C$16,0)/2+F15</f>
        <v>3048.5</v>
      </c>
      <c r="V18" s="39">
        <v>9000</v>
      </c>
      <c r="W18" s="39">
        <f t="shared" si="0"/>
        <v>2.2243630990475747E-2</v>
      </c>
    </row>
    <row r="19" spans="1:23" ht="13.5" thickBot="1" x14ac:dyDescent="0.25">
      <c r="A19" s="5" t="s">
        <v>51</v>
      </c>
      <c r="C19" s="49">
        <f>+D15</f>
        <v>59167.956857846475</v>
      </c>
      <c r="D19" s="50">
        <f>+D16</f>
        <v>0.25952993146883591</v>
      </c>
      <c r="E19" s="14" t="s">
        <v>34</v>
      </c>
      <c r="F19" s="18">
        <f ca="1">+$C$15+$C$16*F18-15018.5-$C$5/24</f>
        <v>44940.967653423613</v>
      </c>
      <c r="V19" s="39">
        <v>10000</v>
      </c>
      <c r="W19" s="39">
        <f t="shared" si="0"/>
        <v>2.7766693047920853E-2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57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34" t="s">
        <v>24</v>
      </c>
      <c r="Q20" s="4" t="s">
        <v>17</v>
      </c>
      <c r="R20" s="35" t="s">
        <v>52</v>
      </c>
      <c r="S20" s="6" t="s">
        <v>53</v>
      </c>
      <c r="T20" s="35" t="s">
        <v>54</v>
      </c>
      <c r="U20" s="36" t="s">
        <v>36</v>
      </c>
      <c r="V20" s="39">
        <v>11000</v>
      </c>
      <c r="W20" s="39">
        <f t="shared" si="0"/>
        <v>3.3786800452188015E-2</v>
      </c>
    </row>
    <row r="21" spans="1:23" x14ac:dyDescent="0.2">
      <c r="A21" s="41" t="s">
        <v>45</v>
      </c>
      <c r="B21" s="42" t="s">
        <v>46</v>
      </c>
      <c r="C21" s="43">
        <v>51089.288999999997</v>
      </c>
      <c r="D21" s="43"/>
      <c r="E21">
        <f>+(C21-C$7)/C$8</f>
        <v>-5437.0136819120225</v>
      </c>
      <c r="F21">
        <f>ROUND(2*E21,0)/2</f>
        <v>-5437</v>
      </c>
      <c r="G21">
        <f>+C21-(C$7+F21*C$8)</f>
        <v>-3.550680004991591E-3</v>
      </c>
      <c r="K21">
        <f>+G21</f>
        <v>-3.550680004991591E-3</v>
      </c>
      <c r="O21">
        <f ca="1">+C$11+C$12*$F21</f>
        <v>-6.9908216594537359E-2</v>
      </c>
      <c r="P21" s="37">
        <f>+D$11+D$12*F21+D$13*F21^2</f>
        <v>-2.1060665499862538E-3</v>
      </c>
      <c r="Q21" s="2">
        <f>+C21-15018.5</f>
        <v>36070.788999999997</v>
      </c>
      <c r="R21" s="39">
        <f>+(P21-G21)^2</f>
        <v>2.0869080343824574E-6</v>
      </c>
      <c r="S21" s="39">
        <v>1</v>
      </c>
      <c r="T21" s="39">
        <f>+S21*R21</f>
        <v>2.0869080343824574E-6</v>
      </c>
      <c r="V21" s="39">
        <v>12000</v>
      </c>
      <c r="W21" s="39">
        <f t="shared" si="0"/>
        <v>4.0303953203277246E-2</v>
      </c>
    </row>
    <row r="22" spans="1:23" x14ac:dyDescent="0.2">
      <c r="A22" t="str">
        <f>D8</f>
        <v>Kreiner</v>
      </c>
      <c r="C22" s="8">
        <f>C$7</f>
        <v>52500.283000000003</v>
      </c>
      <c r="D22" s="8" t="s">
        <v>16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-3.3513011474441232E-2</v>
      </c>
      <c r="P22" s="37">
        <f>+D$11+D$12*F22+D$13*F22^2</f>
        <v>-5.0968869195374723E-3</v>
      </c>
      <c r="Q22" s="38">
        <f>+C22-15018.5</f>
        <v>37481.783000000003</v>
      </c>
      <c r="R22" s="39">
        <f>+(P22-G22)^2</f>
        <v>2.5978256270552184E-5</v>
      </c>
      <c r="S22" s="39">
        <v>1</v>
      </c>
      <c r="T22" s="39">
        <f>+S22*R22</f>
        <v>2.5978256270552184E-5</v>
      </c>
      <c r="U22" s="40"/>
      <c r="V22" s="39">
        <v>13000</v>
      </c>
      <c r="W22" s="39">
        <f t="shared" si="0"/>
        <v>4.7318151301188528E-2</v>
      </c>
    </row>
    <row r="23" spans="1:23" x14ac:dyDescent="0.2">
      <c r="A23" s="41" t="s">
        <v>47</v>
      </c>
      <c r="B23" s="42" t="s">
        <v>48</v>
      </c>
      <c r="C23" s="43">
        <v>56523.500820000001</v>
      </c>
      <c r="D23" s="43">
        <v>4.0000000000000002E-4</v>
      </c>
      <c r="E23" s="27">
        <f>+(C23-C$7)/C$8-0.5</f>
        <v>15502.252196431848</v>
      </c>
      <c r="F23">
        <f>ROUND(2*E23,0)/2</f>
        <v>15502.5</v>
      </c>
      <c r="G23">
        <f>+C23-(C$7+F23*C$8)</f>
        <v>6.5449099995021243E-2</v>
      </c>
      <c r="K23">
        <f>+G23</f>
        <v>6.5449099995021243E-2</v>
      </c>
      <c r="O23">
        <f ca="1">+C$11+C$12*$F23</f>
        <v>7.0260515723331474E-2</v>
      </c>
      <c r="P23" s="37">
        <f>+D$11+D$12*F23+D$13*F23^2</f>
        <v>6.7049484826925923E-2</v>
      </c>
      <c r="Q23" s="2">
        <f>+C23-15018.5</f>
        <v>41505.000820000001</v>
      </c>
      <c r="R23" s="39">
        <f>+(P23-G23)^2</f>
        <v>2.5612316101905721E-6</v>
      </c>
      <c r="S23" s="39">
        <v>1</v>
      </c>
      <c r="T23" s="39">
        <f>+S23*R23</f>
        <v>2.5612316101905721E-6</v>
      </c>
      <c r="V23" s="39">
        <v>14000</v>
      </c>
      <c r="W23" s="39">
        <f t="shared" si="0"/>
        <v>5.4829394745921883E-2</v>
      </c>
    </row>
    <row r="24" spans="1:23" x14ac:dyDescent="0.2">
      <c r="A24" s="41" t="s">
        <v>47</v>
      </c>
      <c r="B24" s="42" t="s">
        <v>48</v>
      </c>
      <c r="C24" s="43">
        <v>56523.500970000001</v>
      </c>
      <c r="D24" s="43">
        <v>4.0000000000000002E-4</v>
      </c>
      <c r="E24" s="27">
        <f>+(C24-C$7)/C$8-0.5</f>
        <v>15502.25277443009</v>
      </c>
      <c r="F24">
        <f>ROUND(2*E24,0)/2</f>
        <v>15502.5</v>
      </c>
      <c r="G24">
        <f>+C24-(C$7+F24*C$8)</f>
        <v>6.5599099994869903E-2</v>
      </c>
      <c r="K24">
        <f>+G24</f>
        <v>6.5599099994869903E-2</v>
      </c>
      <c r="O24">
        <f ca="1">+C$11+C$12*$F24</f>
        <v>7.0260515723331474E-2</v>
      </c>
      <c r="P24" s="37">
        <f>+D$11+D$12*F24+D$13*F24^2</f>
        <v>6.7049484826925923E-2</v>
      </c>
      <c r="Q24" s="2">
        <f>+C24-15018.5</f>
        <v>41505.000970000001</v>
      </c>
      <c r="R24" s="39">
        <f>+(P24-G24)^2</f>
        <v>2.1036161610581701E-6</v>
      </c>
      <c r="S24" s="39">
        <v>1</v>
      </c>
      <c r="T24" s="39">
        <f>+S24*R24</f>
        <v>2.1036161610581701E-6</v>
      </c>
      <c r="V24" s="39">
        <v>15000</v>
      </c>
      <c r="W24" s="39">
        <f t="shared" si="0"/>
        <v>6.283768353747729E-2</v>
      </c>
    </row>
    <row r="25" spans="1:23" x14ac:dyDescent="0.2">
      <c r="A25" s="41" t="s">
        <v>47</v>
      </c>
      <c r="B25" s="42" t="s">
        <v>48</v>
      </c>
      <c r="C25" s="43">
        <v>56523.501219999998</v>
      </c>
      <c r="D25" s="43">
        <v>2.9999999999999997E-4</v>
      </c>
      <c r="E25" s="27">
        <f>+(C25-C$7)/C$8-0.5</f>
        <v>15502.253737760484</v>
      </c>
      <c r="F25">
        <f>ROUND(2*E25,0)/2</f>
        <v>15502.5</v>
      </c>
      <c r="G25">
        <f>+C25-(C$7+F25*C$8)</f>
        <v>6.584909999219235E-2</v>
      </c>
      <c r="K25">
        <f>+G25</f>
        <v>6.584909999219235E-2</v>
      </c>
      <c r="O25">
        <f ca="1">+C$11+C$12*$F25</f>
        <v>7.0260515723331474E-2</v>
      </c>
      <c r="P25" s="37">
        <f>+D$11+D$12*F25+D$13*F25^2</f>
        <v>6.7049484826925923E-2</v>
      </c>
      <c r="Q25" s="2">
        <f>+C25-15018.5</f>
        <v>41505.001219999998</v>
      </c>
      <c r="R25" s="39">
        <f>+(P25-G25)^2</f>
        <v>1.4409237514583466E-6</v>
      </c>
      <c r="S25" s="39">
        <v>1</v>
      </c>
      <c r="T25" s="39">
        <f>+S25*R25</f>
        <v>1.4409237514583466E-6</v>
      </c>
      <c r="V25" s="39">
        <v>16000</v>
      </c>
      <c r="W25" s="39">
        <f t="shared" si="0"/>
        <v>7.1343017675854756E-2</v>
      </c>
    </row>
    <row r="26" spans="1:23" x14ac:dyDescent="0.2">
      <c r="A26" s="41" t="s">
        <v>47</v>
      </c>
      <c r="B26" s="42" t="s">
        <v>48</v>
      </c>
      <c r="C26" s="43">
        <v>56523.50432</v>
      </c>
      <c r="D26" s="43">
        <v>2.9999999999999997E-4</v>
      </c>
      <c r="E26" s="27">
        <f>+(C26-C$7)/C$8-0.5</f>
        <v>15502.265683057503</v>
      </c>
      <c r="F26">
        <f>ROUND(2*E26,0)/2</f>
        <v>15502.5</v>
      </c>
      <c r="G26">
        <f>+C26-(C$7+F26*C$8)</f>
        <v>6.8949099993915297E-2</v>
      </c>
      <c r="K26">
        <f>+G26</f>
        <v>6.8949099993915297E-2</v>
      </c>
      <c r="O26">
        <f ca="1">+C$11+C$12*$F26</f>
        <v>7.0260515723331474E-2</v>
      </c>
      <c r="P26" s="37">
        <f>+D$11+D$12*F26+D$13*F26^2</f>
        <v>6.7049484826925923E-2</v>
      </c>
      <c r="Q26" s="2">
        <f>+C26-15018.5</f>
        <v>41505.00432</v>
      </c>
      <c r="R26" s="39">
        <f>+(P26-G26)^2</f>
        <v>3.6085377826560676E-6</v>
      </c>
      <c r="S26" s="39">
        <v>1</v>
      </c>
      <c r="T26" s="39">
        <f>+S26*R26</f>
        <v>3.6085377826560676E-6</v>
      </c>
      <c r="V26" s="39">
        <v>17000</v>
      </c>
      <c r="W26" s="39">
        <f t="shared" si="0"/>
        <v>8.034539716105428E-2</v>
      </c>
    </row>
    <row r="27" spans="1:23" x14ac:dyDescent="0.2">
      <c r="A27" s="43" t="s">
        <v>55</v>
      </c>
      <c r="B27" s="42"/>
      <c r="C27" s="43">
        <v>56523.505740000001</v>
      </c>
      <c r="D27" s="43">
        <v>4.0999999999999999E-4</v>
      </c>
      <c r="E27" s="27">
        <f>+(C27-C$7)/C$8-0.5</f>
        <v>15502.271154774202</v>
      </c>
      <c r="F27">
        <f>ROUND(2*E27,0)/2</f>
        <v>15502.5</v>
      </c>
      <c r="G27">
        <f>+C27-(C$7+F27*C$8)</f>
        <v>7.0369099994422868E-2</v>
      </c>
      <c r="K27">
        <f>+G27</f>
        <v>7.0369099994422868E-2</v>
      </c>
      <c r="O27">
        <f ca="1">+C$11+C$12*$F27</f>
        <v>7.0260515723331474E-2</v>
      </c>
      <c r="P27" s="37">
        <f>+D$11+D$12*F27+D$13*F27^2</f>
        <v>6.7049484826925923E-2</v>
      </c>
      <c r="Q27" s="2">
        <f>+C27-15018.5</f>
        <v>41505.005740000001</v>
      </c>
      <c r="R27" s="39">
        <f>+(P27-G27)^2</f>
        <v>1.101984486027577E-5</v>
      </c>
      <c r="S27" s="39">
        <v>1</v>
      </c>
      <c r="T27" s="39">
        <f>+S27*R27</f>
        <v>1.101984486027577E-5</v>
      </c>
    </row>
    <row r="28" spans="1:23" x14ac:dyDescent="0.2">
      <c r="A28" s="43" t="s">
        <v>55</v>
      </c>
      <c r="B28" s="42"/>
      <c r="C28" s="43">
        <v>56523.50589</v>
      </c>
      <c r="D28" s="43">
        <v>4.2999999999999999E-4</v>
      </c>
      <c r="E28" s="27">
        <f>+(C28-C$7)/C$8-0.5</f>
        <v>15502.271732772444</v>
      </c>
      <c r="F28">
        <f>ROUND(2*E28,0)/2</f>
        <v>15502.5</v>
      </c>
      <c r="G28">
        <f>+C28-(C$7+F28*C$8)</f>
        <v>7.0519099994271528E-2</v>
      </c>
      <c r="K28">
        <f>+G28</f>
        <v>7.0519099994271528E-2</v>
      </c>
      <c r="O28">
        <f ca="1">+C$11+C$12*$F28</f>
        <v>7.0260515723331474E-2</v>
      </c>
      <c r="P28" s="37">
        <f>+D$11+D$12*F28+D$13*F28^2</f>
        <v>6.7049484826925923E-2</v>
      </c>
      <c r="Q28" s="2">
        <f>+C28-15018.5</f>
        <v>41505.00589</v>
      </c>
      <c r="R28" s="39">
        <f>+(P28-G28)^2</f>
        <v>1.203822940947467E-5</v>
      </c>
      <c r="S28" s="39">
        <v>1</v>
      </c>
      <c r="T28" s="39">
        <f>+S28*R28</f>
        <v>1.203822940947467E-5</v>
      </c>
    </row>
    <row r="29" spans="1:23" x14ac:dyDescent="0.2">
      <c r="A29" s="43" t="s">
        <v>55</v>
      </c>
      <c r="B29" s="42"/>
      <c r="C29" s="43">
        <v>56523.506139999998</v>
      </c>
      <c r="D29" s="43">
        <v>3.5E-4</v>
      </c>
      <c r="E29" s="27">
        <f>+(C29-C$7)/C$8-0.5</f>
        <v>15502.272696102838</v>
      </c>
      <c r="F29">
        <f>ROUND(2*E29,0)/2</f>
        <v>15502.5</v>
      </c>
      <c r="G29">
        <f>+C29-(C$7+F29*C$8)</f>
        <v>7.0769099991593976E-2</v>
      </c>
      <c r="K29">
        <f>+G29</f>
        <v>7.0769099991593976E-2</v>
      </c>
      <c r="O29">
        <f ca="1">+C$11+C$12*$F29</f>
        <v>7.0260515723331474E-2</v>
      </c>
      <c r="P29" s="37">
        <f>+D$11+D$12*F29+D$13*F29^2</f>
        <v>6.7049484826925923E-2</v>
      </c>
      <c r="Q29" s="2">
        <f>+C29-15018.5</f>
        <v>41505.006139999998</v>
      </c>
      <c r="R29" s="39">
        <f>+(P29-G29)^2</f>
        <v>1.3835536973228544E-5</v>
      </c>
      <c r="S29" s="39">
        <v>1</v>
      </c>
      <c r="T29" s="39">
        <f>+S29*R29</f>
        <v>1.3835536973228544E-5</v>
      </c>
    </row>
    <row r="30" spans="1:23" x14ac:dyDescent="0.2">
      <c r="A30" s="41" t="s">
        <v>47</v>
      </c>
      <c r="B30" s="42" t="s">
        <v>46</v>
      </c>
      <c r="C30" s="43">
        <v>56523.631329999997</v>
      </c>
      <c r="D30" s="43">
        <v>2.0000000000000001E-4</v>
      </c>
      <c r="E30" s="27">
        <f>+(C30-C$7)/C$8-0.5</f>
        <v>15502.755093436088</v>
      </c>
      <c r="F30">
        <f>ROUND(2*E30,0)/2</f>
        <v>15503</v>
      </c>
      <c r="G30">
        <f>+C30-(C$7+F30*C$8)</f>
        <v>6.6200919995026197E-2</v>
      </c>
      <c r="K30">
        <f>+G30</f>
        <v>6.6200919995026197E-2</v>
      </c>
      <c r="O30">
        <f ca="1">+C$11+C$12*$F30</f>
        <v>7.0263862716629252E-2</v>
      </c>
      <c r="P30" s="37">
        <f>+D$11+D$12*F30+D$13*F30^2</f>
        <v>6.7053738177432459E-2</v>
      </c>
      <c r="Q30" s="2">
        <f>+C30-15018.5</f>
        <v>41505.131329999997</v>
      </c>
      <c r="R30" s="39">
        <f>+(P30-G30)^2</f>
        <v>7.2729885224272023E-7</v>
      </c>
      <c r="S30" s="39">
        <v>1</v>
      </c>
      <c r="T30" s="39">
        <f>+S30*R30</f>
        <v>7.2729885224272023E-7</v>
      </c>
      <c r="V30" s="39">
        <v>18000</v>
      </c>
      <c r="W30" s="39">
        <f>+D$11+D$12*V30+D$13*V30^2</f>
        <v>8.9844821993075877E-2</v>
      </c>
    </row>
    <row r="31" spans="1:23" x14ac:dyDescent="0.2">
      <c r="A31" s="41" t="s">
        <v>47</v>
      </c>
      <c r="B31" s="42" t="s">
        <v>46</v>
      </c>
      <c r="C31" s="43">
        <v>56523.631609999997</v>
      </c>
      <c r="D31" s="43">
        <v>2.0000000000000001E-4</v>
      </c>
      <c r="E31" s="27">
        <f>+(C31-C$7)/C$8-0.5</f>
        <v>15502.756172366142</v>
      </c>
      <c r="F31">
        <f>ROUND(2*E31,0)/2</f>
        <v>15503</v>
      </c>
      <c r="G31">
        <f>+C31-(C$7+F31*C$8)</f>
        <v>6.648091999522876E-2</v>
      </c>
      <c r="K31">
        <f>+G31</f>
        <v>6.648091999522876E-2</v>
      </c>
      <c r="O31">
        <f ca="1">+C$11+C$12*$F31</f>
        <v>7.0263862716629252E-2</v>
      </c>
      <c r="P31" s="37">
        <f>+D$11+D$12*F31+D$13*F31^2</f>
        <v>6.7053738177432459E-2</v>
      </c>
      <c r="Q31" s="2">
        <f>+C31-15018.5</f>
        <v>41505.131609999997</v>
      </c>
      <c r="R31" s="39">
        <f>+(P31-G31)^2</f>
        <v>3.2812066986315044E-7</v>
      </c>
      <c r="S31" s="39">
        <v>1</v>
      </c>
      <c r="T31" s="39">
        <f>+S31*R31</f>
        <v>3.2812066986315044E-7</v>
      </c>
      <c r="V31" s="39">
        <v>19000</v>
      </c>
      <c r="W31" s="39">
        <f>+D$11+D$12*V31+D$13*V31^2</f>
        <v>9.9841292171919518E-2</v>
      </c>
    </row>
    <row r="32" spans="1:23" x14ac:dyDescent="0.2">
      <c r="A32" s="41" t="s">
        <v>47</v>
      </c>
      <c r="B32" s="42" t="s">
        <v>46</v>
      </c>
      <c r="C32" s="43">
        <v>56523.63164</v>
      </c>
      <c r="D32" s="43">
        <v>2.0000000000000001E-4</v>
      </c>
      <c r="E32" s="27">
        <f>+(C32-C$7)/C$8-0.5</f>
        <v>15502.756287965802</v>
      </c>
      <c r="F32">
        <f>ROUND(2*E32,0)/2</f>
        <v>15503</v>
      </c>
      <c r="G32">
        <f>+C32-(C$7+F32*C$8)</f>
        <v>6.6510919998108875E-2</v>
      </c>
      <c r="K32">
        <f>+G32</f>
        <v>6.6510919998108875E-2</v>
      </c>
      <c r="O32">
        <f ca="1">+C$11+C$12*$F32</f>
        <v>7.0263862716629252E-2</v>
      </c>
      <c r="P32" s="37">
        <f>+D$11+D$12*F32+D$13*F32^2</f>
        <v>6.7053738177432459E-2</v>
      </c>
      <c r="Q32" s="2">
        <f>+C32-15018.5</f>
        <v>41505.13164</v>
      </c>
      <c r="R32" s="39">
        <f>+(P32-G32)^2</f>
        <v>2.9465157580417086E-7</v>
      </c>
      <c r="S32" s="39">
        <v>1</v>
      </c>
      <c r="T32" s="39">
        <f>+S32*R32</f>
        <v>2.9465157580417086E-7</v>
      </c>
      <c r="V32" s="39">
        <v>20000</v>
      </c>
      <c r="W32" s="39">
        <f>+D$11+D$12*V32+D$13*V32^2</f>
        <v>0.11033480769758525</v>
      </c>
    </row>
    <row r="33" spans="1:23" x14ac:dyDescent="0.2">
      <c r="A33" s="41" t="s">
        <v>47</v>
      </c>
      <c r="B33" s="42" t="s">
        <v>46</v>
      </c>
      <c r="C33" s="43">
        <v>56523.634709999998</v>
      </c>
      <c r="D33" s="43">
        <v>2.0000000000000001E-4</v>
      </c>
      <c r="E33" s="27">
        <f>+(C33-C$7)/C$8-0.5</f>
        <v>15502.768117663161</v>
      </c>
      <c r="F33">
        <f>ROUND(2*E33,0)/2</f>
        <v>15503</v>
      </c>
      <c r="G33">
        <f>+C33-(C$7+F33*C$8)</f>
        <v>6.9580919996951707E-2</v>
      </c>
      <c r="K33">
        <f>+G33</f>
        <v>6.9580919996951707E-2</v>
      </c>
      <c r="O33">
        <f ca="1">+C$11+C$12*$F33</f>
        <v>7.0263862716629252E-2</v>
      </c>
      <c r="P33" s="37">
        <f>+D$11+D$12*F33+D$13*F33^2</f>
        <v>6.7053738177432459E-2</v>
      </c>
      <c r="Q33" s="2">
        <f>+C33-15018.5</f>
        <v>41505.134709999998</v>
      </c>
      <c r="R33" s="39">
        <f>+(P33-G33)^2</f>
        <v>6.3866479489086146E-6</v>
      </c>
      <c r="S33" s="39">
        <v>1</v>
      </c>
      <c r="T33" s="39">
        <f>+S33*R33</f>
        <v>6.3866479489086146E-6</v>
      </c>
      <c r="V33" s="39"/>
      <c r="W33" s="39"/>
    </row>
    <row r="34" spans="1:23" x14ac:dyDescent="0.2">
      <c r="A34" s="43" t="s">
        <v>55</v>
      </c>
      <c r="B34" s="42"/>
      <c r="C34" s="43">
        <v>56523.636250000003</v>
      </c>
      <c r="D34" s="43">
        <v>1.9000000000000001E-4</v>
      </c>
      <c r="E34" s="27">
        <f>+(C34-C$7)/C$8-0.5</f>
        <v>15502.77405177847</v>
      </c>
      <c r="F34">
        <f>ROUND(2*E34,0)/2</f>
        <v>15503</v>
      </c>
      <c r="G34">
        <f>+C34-(C$7+F34*C$8)</f>
        <v>7.112092000170378E-2</v>
      </c>
      <c r="K34">
        <f>+G34</f>
        <v>7.112092000170378E-2</v>
      </c>
      <c r="O34">
        <f ca="1">+C$11+C$12*$F34</f>
        <v>7.0263862716629252E-2</v>
      </c>
      <c r="P34" s="37">
        <f>+D$11+D$12*F34+D$13*F34^2</f>
        <v>6.7053738177432459E-2</v>
      </c>
      <c r="Q34" s="2">
        <f>+C34-15018.5</f>
        <v>41505.136250000003</v>
      </c>
      <c r="R34" s="39">
        <f>+(P34-G34)^2</f>
        <v>1.6541967991682991E-5</v>
      </c>
      <c r="S34" s="39">
        <v>1</v>
      </c>
      <c r="T34" s="39">
        <f>+S34*R34</f>
        <v>1.6541967991682991E-5</v>
      </c>
    </row>
    <row r="35" spans="1:23" x14ac:dyDescent="0.2">
      <c r="A35" s="43" t="s">
        <v>55</v>
      </c>
      <c r="B35" s="42"/>
      <c r="C35" s="43">
        <v>56523.636530000003</v>
      </c>
      <c r="D35" s="43">
        <v>2.2000000000000001E-4</v>
      </c>
      <c r="E35" s="27">
        <f>+(C35-C$7)/C$8-0.5</f>
        <v>15502.775130708524</v>
      </c>
      <c r="F35">
        <f>ROUND(2*E35,0)/2</f>
        <v>15503</v>
      </c>
      <c r="G35">
        <f>+C35-(C$7+F35*C$8)</f>
        <v>7.1400920001906343E-2</v>
      </c>
      <c r="K35">
        <f>+G35</f>
        <v>7.1400920001906343E-2</v>
      </c>
      <c r="O35">
        <f ca="1">+C$11+C$12*$F35</f>
        <v>7.0263862716629252E-2</v>
      </c>
      <c r="P35" s="37">
        <f>+D$11+D$12*F35+D$13*F35^2</f>
        <v>6.7053738177432459E-2</v>
      </c>
      <c r="Q35" s="2">
        <f>+C35-15018.5</f>
        <v>41505.136530000003</v>
      </c>
      <c r="R35" s="39">
        <f>+(P35-G35)^2</f>
        <v>1.8897989815036082E-5</v>
      </c>
      <c r="S35" s="39">
        <v>1</v>
      </c>
      <c r="T35" s="39">
        <f>+S35*R35</f>
        <v>1.8897989815036082E-5</v>
      </c>
    </row>
    <row r="36" spans="1:23" x14ac:dyDescent="0.2">
      <c r="A36" s="43" t="s">
        <v>55</v>
      </c>
      <c r="B36" s="42"/>
      <c r="C36" s="43">
        <v>56523.636559999999</v>
      </c>
      <c r="D36" s="43">
        <v>2.1000000000000001E-4</v>
      </c>
      <c r="E36" s="27">
        <f>+(C36-C$7)/C$8-0.5</f>
        <v>15502.775246308156</v>
      </c>
      <c r="F36">
        <f>ROUND(2*E36,0)/2</f>
        <v>15503</v>
      </c>
      <c r="G36">
        <f>+C36-(C$7+F36*C$8)</f>
        <v>7.14309199975105E-2</v>
      </c>
      <c r="K36">
        <f>+G36</f>
        <v>7.14309199975105E-2</v>
      </c>
      <c r="O36">
        <f ca="1">+C$11+C$12*$F36</f>
        <v>7.0263862716629252E-2</v>
      </c>
      <c r="P36" s="37">
        <f>+D$11+D$12*F36+D$13*F36^2</f>
        <v>6.7053738177432459E-2</v>
      </c>
      <c r="Q36" s="2">
        <f>+C36-15018.5</f>
        <v>41505.136559999999</v>
      </c>
      <c r="R36" s="39">
        <f>+(P36-G36)^2</f>
        <v>1.9159720686021712E-5</v>
      </c>
      <c r="S36" s="39">
        <v>1</v>
      </c>
      <c r="T36" s="39">
        <f>+S36*R36</f>
        <v>1.9159720686021712E-5</v>
      </c>
    </row>
    <row r="37" spans="1:23" x14ac:dyDescent="0.2">
      <c r="A37" s="41" t="s">
        <v>47</v>
      </c>
      <c r="B37" s="42" t="s">
        <v>48</v>
      </c>
      <c r="C37" s="43">
        <v>56523.760280000002</v>
      </c>
      <c r="D37" s="43">
        <v>2.0000000000000001E-4</v>
      </c>
      <c r="E37" s="27">
        <f>+(C37-C$7)/C$8-0.5</f>
        <v>15503.251979258644</v>
      </c>
      <c r="F37">
        <f>ROUND(2*E37,0)/2</f>
        <v>15503.5</v>
      </c>
      <c r="G37">
        <f>+C37-(C$7+F37*C$8)</f>
        <v>6.5392739998060279E-2</v>
      </c>
      <c r="K37">
        <f>+G37</f>
        <v>6.5392739998060279E-2</v>
      </c>
      <c r="O37">
        <f ca="1">+C$11+C$12*$F37</f>
        <v>7.0267209709927045E-2</v>
      </c>
      <c r="P37" s="37">
        <f>+D$11+D$12*F37+D$13*F37^2</f>
        <v>6.7057991652200333E-2</v>
      </c>
      <c r="Q37" s="2">
        <f>+C37-15018.5</f>
        <v>41505.260280000002</v>
      </c>
      <c r="R37" s="39">
        <f>+(P37-G37)^2</f>
        <v>2.7730630716161866E-6</v>
      </c>
      <c r="S37" s="39">
        <v>1</v>
      </c>
      <c r="T37" s="39">
        <f>+S37*R37</f>
        <v>2.7730630716161866E-6</v>
      </c>
    </row>
    <row r="38" spans="1:23" x14ac:dyDescent="0.2">
      <c r="A38" s="41" t="s">
        <v>47</v>
      </c>
      <c r="B38" s="42" t="s">
        <v>48</v>
      </c>
      <c r="C38" s="43">
        <v>56523.760470000001</v>
      </c>
      <c r="D38" s="43">
        <v>2.0000000000000001E-4</v>
      </c>
      <c r="E38" s="27">
        <f>+(C38-C$7)/C$8-0.5</f>
        <v>15503.252711389749</v>
      </c>
      <c r="F38">
        <f>ROUND(2*E38,0)/2</f>
        <v>15503.5</v>
      </c>
      <c r="G38">
        <f>+C38-(C$7+F38*C$8)</f>
        <v>6.5582739996898454E-2</v>
      </c>
      <c r="K38">
        <f>+G38</f>
        <v>6.5582739996898454E-2</v>
      </c>
      <c r="O38">
        <f ca="1">+C$11+C$12*$F38</f>
        <v>7.0267209709927045E-2</v>
      </c>
      <c r="P38" s="37">
        <f>+D$11+D$12*F38+D$13*F38^2</f>
        <v>6.7057991652200333E-2</v>
      </c>
      <c r="Q38" s="2">
        <f>+C38-15018.5</f>
        <v>41505.260470000001</v>
      </c>
      <c r="R38" s="39">
        <f>+(P38-G38)^2</f>
        <v>2.1763674464709341E-6</v>
      </c>
      <c r="S38" s="39">
        <v>1</v>
      </c>
      <c r="T38" s="39">
        <f>+S38*R38</f>
        <v>2.1763674464709341E-6</v>
      </c>
    </row>
    <row r="39" spans="1:23" x14ac:dyDescent="0.2">
      <c r="A39" s="41" t="s">
        <v>47</v>
      </c>
      <c r="B39" s="42" t="s">
        <v>48</v>
      </c>
      <c r="C39" s="43">
        <v>56523.76081</v>
      </c>
      <c r="D39" s="43">
        <v>2.0000000000000001E-4</v>
      </c>
      <c r="E39" s="27">
        <f>+(C39-C$7)/C$8-0.5</f>
        <v>15503.254021519093</v>
      </c>
      <c r="F39">
        <f>ROUND(2*E39,0)/2</f>
        <v>15503.5</v>
      </c>
      <c r="G39">
        <f>+C39-(C$7+F39*C$8)</f>
        <v>6.5922739995585289E-2</v>
      </c>
      <c r="K39">
        <f>+G39</f>
        <v>6.5922739995585289E-2</v>
      </c>
      <c r="O39">
        <f ca="1">+C$11+C$12*$F39</f>
        <v>7.0267209709927045E-2</v>
      </c>
      <c r="P39" s="37">
        <f>+D$11+D$12*F39+D$13*F39^2</f>
        <v>6.7057991652200333E-2</v>
      </c>
      <c r="Q39" s="2">
        <f>+C39-15018.5</f>
        <v>41505.26081</v>
      </c>
      <c r="R39" s="39">
        <f>+(P39-G39)^2</f>
        <v>1.2887963238472015E-6</v>
      </c>
      <c r="S39" s="39">
        <v>1</v>
      </c>
      <c r="T39" s="39">
        <f>+S39*R39</f>
        <v>1.2887963238472015E-6</v>
      </c>
    </row>
    <row r="40" spans="1:23" x14ac:dyDescent="0.2">
      <c r="A40" s="41" t="s">
        <v>47</v>
      </c>
      <c r="B40" s="42" t="s">
        <v>48</v>
      </c>
      <c r="C40" s="43">
        <v>56523.763679999996</v>
      </c>
      <c r="D40" s="43">
        <v>2.0000000000000001E-4</v>
      </c>
      <c r="E40" s="27">
        <f>+(C40-C$7)/C$8-0.5</f>
        <v>15503.265080552121</v>
      </c>
      <c r="F40">
        <f>ROUND(2*E40,0)/2</f>
        <v>15503.5</v>
      </c>
      <c r="G40">
        <f>+C40-(C$7+F40*C$8)</f>
        <v>6.8792739992204588E-2</v>
      </c>
      <c r="K40">
        <f>+G40</f>
        <v>6.8792739992204588E-2</v>
      </c>
      <c r="O40">
        <f ca="1">+C$11+C$12*$F40</f>
        <v>7.0267209709927045E-2</v>
      </c>
      <c r="P40" s="37">
        <f>+D$11+D$12*F40+D$13*F40^2</f>
        <v>6.7057991652200333E-2</v>
      </c>
      <c r="Q40" s="2">
        <f>+C40-15018.5</f>
        <v>41505.263679999996</v>
      </c>
      <c r="R40" s="39">
        <f>+(P40-G40)^2</f>
        <v>3.009351803147519E-6</v>
      </c>
      <c r="S40" s="39">
        <v>1</v>
      </c>
      <c r="T40" s="39">
        <f>+S40*R40</f>
        <v>3.009351803147519E-6</v>
      </c>
    </row>
    <row r="41" spans="1:23" x14ac:dyDescent="0.2">
      <c r="A41" s="43" t="s">
        <v>55</v>
      </c>
      <c r="B41" s="42"/>
      <c r="C41" s="43">
        <v>56523.765200000002</v>
      </c>
      <c r="D41" s="43">
        <v>2.0000000000000001E-4</v>
      </c>
      <c r="E41" s="27">
        <f>+(C41-C$7)/C$8-0.5</f>
        <v>15503.270937600999</v>
      </c>
      <c r="F41">
        <f>ROUND(2*E41,0)/2</f>
        <v>15503.5</v>
      </c>
      <c r="G41">
        <f>+C41-(C$7+F41*C$8)</f>
        <v>7.0312739997461904E-2</v>
      </c>
      <c r="K41">
        <f>+G41</f>
        <v>7.0312739997461904E-2</v>
      </c>
      <c r="O41">
        <f ca="1">+C$11+C$12*$F41</f>
        <v>7.0267209709927045E-2</v>
      </c>
      <c r="P41" s="37">
        <f>+D$11+D$12*F41+D$13*F41^2</f>
        <v>6.7057991652200333E-2</v>
      </c>
      <c r="Q41" s="2">
        <f>+C41-15018.5</f>
        <v>41505.265200000002</v>
      </c>
      <c r="R41" s="39">
        <f>+(P41-G41)^2</f>
        <v>1.0593386790982935E-5</v>
      </c>
      <c r="S41" s="39">
        <v>1</v>
      </c>
      <c r="T41" s="39">
        <f>+S41*R41</f>
        <v>1.0593386790982935E-5</v>
      </c>
    </row>
    <row r="42" spans="1:23" x14ac:dyDescent="0.2">
      <c r="A42" s="43" t="s">
        <v>55</v>
      </c>
      <c r="B42" s="42"/>
      <c r="C42" s="43">
        <v>56523.76539</v>
      </c>
      <c r="D42" s="43">
        <v>1.8000000000000001E-4</v>
      </c>
      <c r="E42" s="27">
        <f>+(C42-C$7)/C$8-0.5</f>
        <v>15503.271669732103</v>
      </c>
      <c r="F42">
        <f>ROUND(2*E42,0)/2</f>
        <v>15503.5</v>
      </c>
      <c r="G42">
        <f>+C42-(C$7+F42*C$8)</f>
        <v>7.0502739996300079E-2</v>
      </c>
      <c r="K42">
        <f>+G42</f>
        <v>7.0502739996300079E-2</v>
      </c>
      <c r="O42">
        <f ca="1">+C$11+C$12*$F42</f>
        <v>7.0267209709927045E-2</v>
      </c>
      <c r="P42" s="37">
        <f>+D$11+D$12*F42+D$13*F42^2</f>
        <v>6.7057991652200333E-2</v>
      </c>
      <c r="Q42" s="2">
        <f>+C42-15018.5</f>
        <v>41505.26539</v>
      </c>
      <c r="R42" s="39">
        <f>+(P42-G42)^2</f>
        <v>1.1866291154177944E-5</v>
      </c>
      <c r="S42" s="39">
        <v>1</v>
      </c>
      <c r="T42" s="39">
        <f>+S42*R42</f>
        <v>1.1866291154177944E-5</v>
      </c>
    </row>
    <row r="43" spans="1:23" x14ac:dyDescent="0.2">
      <c r="A43" s="43" t="s">
        <v>55</v>
      </c>
      <c r="B43" s="42"/>
      <c r="C43" s="43">
        <v>56523.765729999999</v>
      </c>
      <c r="D43" s="43">
        <v>1.7000000000000001E-4</v>
      </c>
      <c r="E43" s="27">
        <f>+(C43-C$7)/C$8-0.5</f>
        <v>15503.272979861447</v>
      </c>
      <c r="F43">
        <f>ROUND(2*E43,0)/2</f>
        <v>15503.5</v>
      </c>
      <c r="G43">
        <f>+C43-(C$7+F43*C$8)</f>
        <v>7.0842739994986914E-2</v>
      </c>
      <c r="K43">
        <f>+G43</f>
        <v>7.0842739994986914E-2</v>
      </c>
      <c r="O43">
        <f ca="1">+C$11+C$12*$F43</f>
        <v>7.0267209709927045E-2</v>
      </c>
      <c r="P43" s="37">
        <f>+D$11+D$12*F43+D$13*F43^2</f>
        <v>6.7057991652200333E-2</v>
      </c>
      <c r="Q43" s="2">
        <f>+C43-15018.5</f>
        <v>41505.265729999999</v>
      </c>
      <c r="R43" s="39">
        <f>+(P43-G43)^2</f>
        <v>1.4324320018225773E-5</v>
      </c>
      <c r="S43" s="39">
        <v>1</v>
      </c>
      <c r="T43" s="39">
        <f>+S43*R43</f>
        <v>1.4324320018225773E-5</v>
      </c>
    </row>
    <row r="44" spans="1:23" x14ac:dyDescent="0.2">
      <c r="A44" s="41" t="s">
        <v>47</v>
      </c>
      <c r="B44" s="42" t="s">
        <v>46</v>
      </c>
      <c r="C44" s="43">
        <v>56523.890200000002</v>
      </c>
      <c r="D44" s="43">
        <v>2.9999999999999997E-4</v>
      </c>
      <c r="E44" s="27">
        <f>+(C44-C$7)/C$8-0.5</f>
        <v>15503.752602803148</v>
      </c>
      <c r="F44">
        <f>ROUND(2*E44,0)/2</f>
        <v>15504</v>
      </c>
      <c r="G44">
        <f>+C44-(C$7+F44*C$8)</f>
        <v>6.5554559994779993E-2</v>
      </c>
      <c r="K44">
        <f>+G44</f>
        <v>6.5554559994779993E-2</v>
      </c>
      <c r="O44">
        <f ca="1">+C$11+C$12*$F44</f>
        <v>7.0270556703224824E-2</v>
      </c>
      <c r="P44" s="37">
        <f>+D$11+D$12*F44+D$13*F44^2</f>
        <v>6.7062245251229544E-2</v>
      </c>
      <c r="Q44" s="2">
        <f>+C44-15018.5</f>
        <v>41505.390200000002</v>
      </c>
      <c r="R44" s="39">
        <f>+(P44-G44)^2</f>
        <v>2.2731148325153475E-6</v>
      </c>
      <c r="S44" s="39">
        <v>1</v>
      </c>
      <c r="T44" s="39">
        <f>+S44*R44</f>
        <v>2.2731148325153475E-6</v>
      </c>
    </row>
    <row r="45" spans="1:23" x14ac:dyDescent="0.2">
      <c r="A45" s="41" t="s">
        <v>47</v>
      </c>
      <c r="B45" s="42" t="s">
        <v>46</v>
      </c>
      <c r="C45" s="43">
        <v>56523.890570000003</v>
      </c>
      <c r="D45" s="43">
        <v>2.0000000000000001E-4</v>
      </c>
      <c r="E45" s="27">
        <f>+(C45-C$7)/C$8-0.5</f>
        <v>15503.754028532152</v>
      </c>
      <c r="F45">
        <f>ROUND(2*E45,0)/2</f>
        <v>15504</v>
      </c>
      <c r="G45">
        <f>+C45-(C$7+F45*C$8)</f>
        <v>6.5924559996346943E-2</v>
      </c>
      <c r="K45">
        <f>+G45</f>
        <v>6.5924559996346943E-2</v>
      </c>
      <c r="O45">
        <f ca="1">+C$11+C$12*$F45</f>
        <v>7.0270556703224824E-2</v>
      </c>
      <c r="P45" s="37">
        <f>+D$11+D$12*F45+D$13*F45^2</f>
        <v>6.7062245251229544E-2</v>
      </c>
      <c r="Q45" s="2">
        <f>+C45-15018.5</f>
        <v>41505.390570000003</v>
      </c>
      <c r="R45" s="39">
        <f>+(P45-G45)^2</f>
        <v>1.2943277391772878E-6</v>
      </c>
      <c r="S45" s="39">
        <v>1</v>
      </c>
      <c r="T45" s="39">
        <f>+S45*R45</f>
        <v>1.2943277391772878E-6</v>
      </c>
    </row>
    <row r="46" spans="1:23" x14ac:dyDescent="0.2">
      <c r="A46" s="41" t="s">
        <v>47</v>
      </c>
      <c r="B46" s="42" t="s">
        <v>46</v>
      </c>
      <c r="C46" s="43">
        <v>56523.890659999997</v>
      </c>
      <c r="D46" s="43">
        <v>2.9999999999999997E-4</v>
      </c>
      <c r="E46" s="27">
        <f>+(C46-C$7)/C$8-0.5</f>
        <v>15503.754375331075</v>
      </c>
      <c r="F46">
        <f>ROUND(2*E46,0)/2</f>
        <v>15504</v>
      </c>
      <c r="G46">
        <f>+C46-(C$7+F46*C$8)</f>
        <v>6.6014559990435373E-2</v>
      </c>
      <c r="K46">
        <f>+G46</f>
        <v>6.6014559990435373E-2</v>
      </c>
      <c r="O46">
        <f ca="1">+C$11+C$12*$F46</f>
        <v>7.0270556703224824E-2</v>
      </c>
      <c r="P46" s="37">
        <f>+D$11+D$12*F46+D$13*F46^2</f>
        <v>6.7062245251229544E-2</v>
      </c>
      <c r="Q46" s="2">
        <f>+C46-15018.5</f>
        <v>41505.390659999997</v>
      </c>
      <c r="R46" s="39">
        <f>+(P46-G46)^2</f>
        <v>1.0976444056853493E-6</v>
      </c>
      <c r="S46" s="39">
        <v>1</v>
      </c>
      <c r="T46" s="39">
        <f>+S46*R46</f>
        <v>1.0976444056853493E-6</v>
      </c>
    </row>
    <row r="47" spans="1:23" x14ac:dyDescent="0.2">
      <c r="A47" s="41" t="s">
        <v>47</v>
      </c>
      <c r="B47" s="42" t="s">
        <v>46</v>
      </c>
      <c r="C47" s="43">
        <v>56523.893559999997</v>
      </c>
      <c r="D47" s="43">
        <v>2.9999999999999997E-4</v>
      </c>
      <c r="E47" s="27">
        <f>+(C47-C$7)/C$8-0.5</f>
        <v>15503.765549963762</v>
      </c>
      <c r="F47">
        <f>ROUND(2*E47,0)/2</f>
        <v>15504</v>
      </c>
      <c r="G47">
        <f>+C47-(C$7+F47*C$8)</f>
        <v>6.8914559989934787E-2</v>
      </c>
      <c r="K47">
        <f>+G47</f>
        <v>6.8914559989934787E-2</v>
      </c>
      <c r="O47">
        <f ca="1">+C$11+C$12*$F47</f>
        <v>7.0270556703224824E-2</v>
      </c>
      <c r="P47" s="37">
        <f>+D$11+D$12*F47+D$13*F47^2</f>
        <v>6.7062245251229544E-2</v>
      </c>
      <c r="Q47" s="2">
        <f>+C47-15018.5</f>
        <v>41505.393559999997</v>
      </c>
      <c r="R47" s="39">
        <f>+(P47-G47)^2</f>
        <v>3.4310698912246749E-6</v>
      </c>
      <c r="S47" s="39">
        <v>1</v>
      </c>
      <c r="T47" s="39">
        <f>+S47*R47</f>
        <v>3.4310698912246749E-6</v>
      </c>
    </row>
    <row r="48" spans="1:23" x14ac:dyDescent="0.2">
      <c r="A48" s="43" t="s">
        <v>55</v>
      </c>
      <c r="B48" s="42"/>
      <c r="C48" s="43">
        <v>56523.895120000001</v>
      </c>
      <c r="D48" s="43">
        <v>2.9999999999999997E-4</v>
      </c>
      <c r="E48" s="27">
        <f>+(C48-C$7)/C$8-0.5</f>
        <v>15503.771561145501</v>
      </c>
      <c r="F48">
        <f>ROUND(2*E48,0)/2</f>
        <v>15504</v>
      </c>
      <c r="G48">
        <f>+C48-(C$7+F48*C$8)</f>
        <v>7.0474559994181618E-2</v>
      </c>
      <c r="K48">
        <f>+G48</f>
        <v>7.0474559994181618E-2</v>
      </c>
      <c r="O48">
        <f ca="1">+C$11+C$12*$F48</f>
        <v>7.0270556703224824E-2</v>
      </c>
      <c r="P48" s="37">
        <f>+D$11+D$12*F48+D$13*F48^2</f>
        <v>6.7062245251229544E-2</v>
      </c>
      <c r="Q48" s="2">
        <f>+C48-15018.5</f>
        <v>41505.395120000001</v>
      </c>
      <c r="R48" s="39">
        <f>+(P48-G48)^2</f>
        <v>1.1643891904968082E-5</v>
      </c>
      <c r="S48" s="39">
        <v>1</v>
      </c>
      <c r="T48" s="39">
        <f>+S48*R48</f>
        <v>1.1643891904968082E-5</v>
      </c>
    </row>
    <row r="49" spans="1:20" x14ac:dyDescent="0.2">
      <c r="A49" s="43" t="s">
        <v>55</v>
      </c>
      <c r="B49" s="42"/>
      <c r="C49" s="43">
        <v>56523.895490000003</v>
      </c>
      <c r="D49" s="43">
        <v>1.8000000000000001E-4</v>
      </c>
      <c r="E49" s="27">
        <f>+(C49-C$7)/C$8-0.5</f>
        <v>15503.772986874506</v>
      </c>
      <c r="F49">
        <f>ROUND(2*E49,0)/2</f>
        <v>15504</v>
      </c>
      <c r="G49">
        <f>+C49-(C$7+F49*C$8)</f>
        <v>7.0844559995748568E-2</v>
      </c>
      <c r="K49">
        <f>+G49</f>
        <v>7.0844559995748568E-2</v>
      </c>
      <c r="O49">
        <f ca="1">+C$11+C$12*$F49</f>
        <v>7.0270556703224824E-2</v>
      </c>
      <c r="P49" s="37">
        <f>+D$11+D$12*F49+D$13*F49^2</f>
        <v>6.7062245251229544E-2</v>
      </c>
      <c r="Q49" s="2">
        <f>+C49-15018.5</f>
        <v>41505.395490000003</v>
      </c>
      <c r="R49" s="39">
        <f>+(P49-G49)^2</f>
        <v>1.4305904826606015E-5</v>
      </c>
      <c r="S49" s="39">
        <v>1</v>
      </c>
      <c r="T49" s="39">
        <f>+S49*R49</f>
        <v>1.4305904826606015E-5</v>
      </c>
    </row>
    <row r="50" spans="1:20" x14ac:dyDescent="0.2">
      <c r="A50" s="43" t="s">
        <v>55</v>
      </c>
      <c r="B50" s="42"/>
      <c r="C50" s="43">
        <v>56523.895579999997</v>
      </c>
      <c r="D50" s="43">
        <v>3.4000000000000002E-4</v>
      </c>
      <c r="E50" s="27">
        <f>+(C50-C$7)/C$8-0.5</f>
        <v>15503.773333673429</v>
      </c>
      <c r="F50">
        <f>ROUND(2*E50,0)/2</f>
        <v>15504</v>
      </c>
      <c r="G50">
        <f>+C50-(C$7+F50*C$8)</f>
        <v>7.0934559989836998E-2</v>
      </c>
      <c r="K50">
        <f>+G50</f>
        <v>7.0934559989836998E-2</v>
      </c>
      <c r="O50">
        <f ca="1">+C$11+C$12*$F50</f>
        <v>7.0270556703224824E-2</v>
      </c>
      <c r="P50" s="37">
        <f>+D$11+D$12*F50+D$13*F50^2</f>
        <v>6.7062245251229544E-2</v>
      </c>
      <c r="Q50" s="2">
        <f>+C50-15018.5</f>
        <v>41505.395579999997</v>
      </c>
      <c r="R50" s="39">
        <f>+(P50-G50)^2</f>
        <v>1.499482143483652E-5</v>
      </c>
      <c r="S50" s="39">
        <v>1</v>
      </c>
      <c r="T50" s="39">
        <f>+S50*R50</f>
        <v>1.499482143483652E-5</v>
      </c>
    </row>
    <row r="51" spans="1:20" x14ac:dyDescent="0.2">
      <c r="A51" s="41" t="s">
        <v>47</v>
      </c>
      <c r="B51" s="42" t="s">
        <v>48</v>
      </c>
      <c r="C51" s="43">
        <v>56532.844400000002</v>
      </c>
      <c r="D51" s="43">
        <v>2.0000000000000001E-4</v>
      </c>
      <c r="E51" s="27">
        <f>+(C51-C$7)/C$8-0.5</f>
        <v>15538.256015227706</v>
      </c>
      <c r="F51">
        <f>ROUND(2*E51,0)/2</f>
        <v>15538.5</v>
      </c>
      <c r="G51">
        <f>+C51-(C$7+F51*C$8)</f>
        <v>6.6440139999031089E-2</v>
      </c>
      <c r="K51">
        <f>+G51</f>
        <v>6.6440139999031089E-2</v>
      </c>
      <c r="O51">
        <f ca="1">+C$11+C$12*$F51</f>
        <v>7.050149924077187E-2</v>
      </c>
      <c r="P51" s="37">
        <f>+D$11+D$12*F51+D$13*F51^2</f>
        <v>6.7356043675373456E-2</v>
      </c>
      <c r="Q51" s="2">
        <f>+C51-15018.5</f>
        <v>41514.344400000002</v>
      </c>
      <c r="R51" s="39">
        <f>+(P51-G51)^2</f>
        <v>8.3887954433746284E-7</v>
      </c>
      <c r="S51" s="39">
        <v>1</v>
      </c>
      <c r="T51" s="39">
        <f>+S51*R51</f>
        <v>8.3887954433746284E-7</v>
      </c>
    </row>
    <row r="52" spans="1:20" x14ac:dyDescent="0.2">
      <c r="A52" s="41" t="s">
        <v>47</v>
      </c>
      <c r="B52" s="42" t="s">
        <v>48</v>
      </c>
      <c r="C52" s="43">
        <v>56532.84446</v>
      </c>
      <c r="D52" s="43">
        <v>4.0000000000000002E-4</v>
      </c>
      <c r="E52" s="27">
        <f>+(C52-C$7)/C$8-0.5</f>
        <v>15538.256246426996</v>
      </c>
      <c r="F52">
        <f>ROUND(2*E52,0)/2</f>
        <v>15538.5</v>
      </c>
      <c r="G52">
        <f>+C52-(C$7+F52*C$8)</f>
        <v>6.6500139997515362E-2</v>
      </c>
      <c r="K52">
        <f>+G52</f>
        <v>6.6500139997515362E-2</v>
      </c>
      <c r="O52">
        <f ca="1">+C$11+C$12*$F52</f>
        <v>7.050149924077187E-2</v>
      </c>
      <c r="P52" s="37">
        <f>+D$11+D$12*F52+D$13*F52^2</f>
        <v>6.7356043675373456E-2</v>
      </c>
      <c r="Q52" s="2">
        <f>+C52-15018.5</f>
        <v>41514.34446</v>
      </c>
      <c r="R52" s="39">
        <f>+(P52-G52)^2</f>
        <v>7.3257110577101226E-7</v>
      </c>
      <c r="S52" s="39">
        <v>1</v>
      </c>
      <c r="T52" s="39">
        <f>+S52*R52</f>
        <v>7.3257110577101226E-7</v>
      </c>
    </row>
    <row r="53" spans="1:20" x14ac:dyDescent="0.2">
      <c r="A53" s="41" t="s">
        <v>47</v>
      </c>
      <c r="B53" s="42" t="s">
        <v>48</v>
      </c>
      <c r="C53" s="43">
        <v>56532.84448</v>
      </c>
      <c r="D53" s="43">
        <v>4.0000000000000002E-4</v>
      </c>
      <c r="E53" s="27">
        <f>+(C53-C$7)/C$8-0.5</f>
        <v>15538.256323493428</v>
      </c>
      <c r="F53">
        <f>ROUND(2*E53,0)/2</f>
        <v>15538.5</v>
      </c>
      <c r="G53">
        <f>+C53-(C$7+F53*C$8)</f>
        <v>6.6520139997010119E-2</v>
      </c>
      <c r="K53">
        <f>+G53</f>
        <v>6.6520139997010119E-2</v>
      </c>
      <c r="O53">
        <f ca="1">+C$11+C$12*$F53</f>
        <v>7.050149924077187E-2</v>
      </c>
      <c r="P53" s="37">
        <f>+D$11+D$12*F53+D$13*F53^2</f>
        <v>6.7356043675373456E-2</v>
      </c>
      <c r="Q53" s="2">
        <f>+C53-15018.5</f>
        <v>41514.34448</v>
      </c>
      <c r="R53" s="39">
        <f>+(P53-G53)^2</f>
        <v>6.9873495950135663E-7</v>
      </c>
      <c r="S53" s="39">
        <v>1</v>
      </c>
      <c r="T53" s="39">
        <f>+S53*R53</f>
        <v>6.9873495950135663E-7</v>
      </c>
    </row>
    <row r="54" spans="1:20" x14ac:dyDescent="0.2">
      <c r="A54" s="43" t="s">
        <v>55</v>
      </c>
      <c r="B54" s="42"/>
      <c r="C54" s="43">
        <v>56532.849219999996</v>
      </c>
      <c r="D54" s="43">
        <v>1.6000000000000001E-4</v>
      </c>
      <c r="E54" s="27">
        <f>+(C54-C$7)/C$8-0.5</f>
        <v>15538.27458823788</v>
      </c>
      <c r="F54">
        <f>ROUND(2*E54,0)/2</f>
        <v>15538.5</v>
      </c>
      <c r="G54">
        <f>+C54-(C$7+F54*C$8)</f>
        <v>7.1260139993682969E-2</v>
      </c>
      <c r="K54">
        <f>+G54</f>
        <v>7.1260139993682969E-2</v>
      </c>
      <c r="O54">
        <f ca="1">+C$11+C$12*$F54</f>
        <v>7.050149924077187E-2</v>
      </c>
      <c r="P54" s="37">
        <f>+D$11+D$12*F54+D$13*F54^2</f>
        <v>6.7356043675373456E-2</v>
      </c>
      <c r="Q54" s="2">
        <f>+C54-15018.5</f>
        <v>41514.349219999996</v>
      </c>
      <c r="R54" s="39">
        <f>+(P54-G54)^2</f>
        <v>1.5241968062637898E-5</v>
      </c>
      <c r="S54" s="39">
        <v>1</v>
      </c>
      <c r="T54" s="39">
        <f>+S54*R54</f>
        <v>1.5241968062637898E-5</v>
      </c>
    </row>
    <row r="55" spans="1:20" x14ac:dyDescent="0.2">
      <c r="A55" s="43" t="s">
        <v>55</v>
      </c>
      <c r="B55" s="42"/>
      <c r="C55" s="43">
        <v>56532.849280000002</v>
      </c>
      <c r="D55" s="43">
        <v>4.0000000000000002E-4</v>
      </c>
      <c r="E55" s="27">
        <f>+(C55-C$7)/C$8-0.5</f>
        <v>15538.274819437198</v>
      </c>
      <c r="F55">
        <f>ROUND(2*E55,0)/2</f>
        <v>15538.5</v>
      </c>
      <c r="G55">
        <f>+C55-(C$7+F55*C$8)</f>
        <v>7.1320139999443199E-2</v>
      </c>
      <c r="K55">
        <f>+G55</f>
        <v>7.1320139999443199E-2</v>
      </c>
      <c r="O55">
        <f ca="1">+C$11+C$12*$F55</f>
        <v>7.050149924077187E-2</v>
      </c>
      <c r="P55" s="37">
        <f>+D$11+D$12*F55+D$13*F55^2</f>
        <v>6.7356043675373456E-2</v>
      </c>
      <c r="Q55" s="2">
        <f>+C55-15018.5</f>
        <v>41514.349280000002</v>
      </c>
      <c r="R55" s="39">
        <f>+(P55-G55)^2</f>
        <v>1.5714059666503254E-5</v>
      </c>
      <c r="S55" s="39">
        <v>1</v>
      </c>
      <c r="T55" s="39">
        <f>+S55*R55</f>
        <v>1.5714059666503254E-5</v>
      </c>
    </row>
    <row r="56" spans="1:20" x14ac:dyDescent="0.2">
      <c r="A56" s="43" t="s">
        <v>55</v>
      </c>
      <c r="B56" s="42"/>
      <c r="C56" s="43">
        <v>56532.849300000002</v>
      </c>
      <c r="D56" s="43">
        <v>4.0999999999999999E-4</v>
      </c>
      <c r="E56" s="27">
        <f>+(C56-C$7)/C$8-0.5</f>
        <v>15538.27489650363</v>
      </c>
      <c r="F56">
        <f>ROUND(2*E56,0)/2</f>
        <v>15538.5</v>
      </c>
      <c r="G56">
        <f>+C56-(C$7+F56*C$8)</f>
        <v>7.1340139998937957E-2</v>
      </c>
      <c r="K56">
        <f>+G56</f>
        <v>7.1340139998937957E-2</v>
      </c>
      <c r="O56">
        <f ca="1">+C$11+C$12*$F56</f>
        <v>7.050149924077187E-2</v>
      </c>
      <c r="P56" s="37">
        <f>+D$11+D$12*F56+D$13*F56^2</f>
        <v>6.7356043675373456E-2</v>
      </c>
      <c r="Q56" s="2">
        <f>+C56-15018.5</f>
        <v>41514.349300000002</v>
      </c>
      <c r="R56" s="39">
        <f>+(P56-G56)^2</f>
        <v>1.5873023515440174E-5</v>
      </c>
      <c r="S56" s="39">
        <v>1</v>
      </c>
      <c r="T56" s="39">
        <f>+S56*R56</f>
        <v>1.5873023515440174E-5</v>
      </c>
    </row>
    <row r="57" spans="1:20" x14ac:dyDescent="0.2">
      <c r="A57" s="41" t="s">
        <v>47</v>
      </c>
      <c r="B57" s="42" t="s">
        <v>48</v>
      </c>
      <c r="C57" s="43">
        <v>56532.849399999999</v>
      </c>
      <c r="D57" s="43">
        <v>2.9999999999999997E-4</v>
      </c>
      <c r="E57" s="27">
        <f>+(C57-C$7)/C$8-0.5</f>
        <v>15538.27528183578</v>
      </c>
      <c r="F57">
        <f>ROUND(2*E57,0)/2</f>
        <v>15538.5</v>
      </c>
      <c r="G57">
        <f>+C57-(C$7+F57*C$8)</f>
        <v>7.1440139996411745E-2</v>
      </c>
      <c r="K57">
        <f>+G57</f>
        <v>7.1440139996411745E-2</v>
      </c>
      <c r="O57">
        <f ca="1">+C$11+C$12*$F57</f>
        <v>7.050149924077187E-2</v>
      </c>
      <c r="P57" s="37">
        <f>+D$11+D$12*F57+D$13*F57^2</f>
        <v>6.7356043675373456E-2</v>
      </c>
      <c r="Q57" s="2">
        <f>+C57-15018.5</f>
        <v>41514.349399999999</v>
      </c>
      <c r="R57" s="39">
        <f>+(P57-G57)^2</f>
        <v>1.6679842759518483E-5</v>
      </c>
      <c r="S57" s="39">
        <v>1</v>
      </c>
      <c r="T57" s="39">
        <f>+S57*R57</f>
        <v>1.6679842759518483E-5</v>
      </c>
    </row>
    <row r="58" spans="1:20" x14ac:dyDescent="0.2">
      <c r="A58" s="46" t="s">
        <v>58</v>
      </c>
      <c r="B58" s="47" t="s">
        <v>48</v>
      </c>
      <c r="C58" s="48">
        <v>56956.671549999999</v>
      </c>
      <c r="D58" s="48">
        <v>1E-4</v>
      </c>
      <c r="E58" s="27">
        <f>+(C58-C$7)/C$8-0.5</f>
        <v>17171.398334270703</v>
      </c>
      <c r="F58">
        <f>ROUND(2*E58,0)/2</f>
        <v>17171.5</v>
      </c>
      <c r="G58">
        <f>+C58-(C$7+F58*C$8)</f>
        <v>0.10337425999750849</v>
      </c>
      <c r="K58">
        <f>+G58</f>
        <v>0.10337425999750849</v>
      </c>
      <c r="O58">
        <f ca="1">+C$11+C$12*$F58</f>
        <v>8.1432779351332293E-2</v>
      </c>
      <c r="P58" s="37">
        <f>+D$11+D$12*F58+D$13*F58^2</f>
        <v>8.1939236492257025E-2</v>
      </c>
      <c r="Q58" s="2">
        <f>+C58-15018.5</f>
        <v>41938.171549999999</v>
      </c>
      <c r="R58" s="39">
        <f>+(P58-G58)^2</f>
        <v>4.5946023267068271E-4</v>
      </c>
      <c r="S58" s="39">
        <v>1</v>
      </c>
      <c r="T58" s="39">
        <f>+S58*R58</f>
        <v>4.5946023267068271E-4</v>
      </c>
    </row>
    <row r="59" spans="1:20" ht="15" x14ac:dyDescent="0.2">
      <c r="A59" s="54" t="s">
        <v>49</v>
      </c>
      <c r="B59" s="44" t="s">
        <v>46</v>
      </c>
      <c r="C59" s="55">
        <v>57147.921000000002</v>
      </c>
      <c r="D59" s="56">
        <v>2.0000000000000001E-4</v>
      </c>
      <c r="E59" s="27">
        <f>+(C59-C$7)/C$8-0.5</f>
        <v>17908.343974229596</v>
      </c>
      <c r="F59">
        <f>ROUND(2*E59,0)/2</f>
        <v>17908.5</v>
      </c>
      <c r="G59">
        <f>+C59-(C$7+F59*C$8)</f>
        <v>8.9266939998196904E-2</v>
      </c>
      <c r="K59">
        <f>+G59</f>
        <v>8.9266939998196904E-2</v>
      </c>
      <c r="O59">
        <f ca="1">+C$11+C$12*$F59</f>
        <v>8.6366247472264943E-2</v>
      </c>
      <c r="P59" s="37">
        <f>+D$11+D$12*F59+D$13*F59^2</f>
        <v>8.8954965490281257E-2</v>
      </c>
      <c r="Q59" s="2">
        <f>+C59-15018.5</f>
        <v>42129.421000000002</v>
      </c>
      <c r="R59" s="39">
        <f>+(P59-G59)^2</f>
        <v>9.7328093589209859E-8</v>
      </c>
      <c r="S59" s="39">
        <v>1</v>
      </c>
      <c r="T59" s="39">
        <f>+S59*R59</f>
        <v>9.7328093589209859E-8</v>
      </c>
    </row>
    <row r="60" spans="1:20" x14ac:dyDescent="0.2">
      <c r="A60" s="51" t="s">
        <v>59</v>
      </c>
      <c r="B60" s="52" t="s">
        <v>46</v>
      </c>
      <c r="C60" s="53">
        <v>57157.167299999855</v>
      </c>
      <c r="D60" s="53">
        <v>1E-4</v>
      </c>
      <c r="E60" s="27">
        <f>+(C60-C$7)/C$8-0.5</f>
        <v>17943.97294189797</v>
      </c>
      <c r="F60">
        <f>ROUND(2*E60,0)/2</f>
        <v>17944</v>
      </c>
      <c r="G60">
        <f>+C60-(C$7+F60*C$8)</f>
        <v>0.12273615985031938</v>
      </c>
      <c r="K60">
        <f>+G60</f>
        <v>0.12273615985031938</v>
      </c>
      <c r="O60">
        <f ca="1">+C$11+C$12*$F60</f>
        <v>8.660388399640756E-2</v>
      </c>
      <c r="P60" s="37">
        <f>+D$11+D$12*F60+D$13*F60^2</f>
        <v>8.9299716299875473E-2</v>
      </c>
      <c r="Q60" s="2">
        <f>+C60-15018.5</f>
        <v>42138.667299999855</v>
      </c>
      <c r="R60" s="39">
        <f>+(P60-G60)^2</f>
        <v>1.117995757302022E-3</v>
      </c>
      <c r="S60" s="39">
        <v>1</v>
      </c>
      <c r="T60" s="39">
        <f>+S60*R60</f>
        <v>1.117995757302022E-3</v>
      </c>
    </row>
    <row r="61" spans="1:20" x14ac:dyDescent="0.2">
      <c r="A61" s="57" t="s">
        <v>59</v>
      </c>
      <c r="B61" s="58" t="s">
        <v>46</v>
      </c>
      <c r="C61" s="55">
        <v>57157.167300000001</v>
      </c>
      <c r="D61" s="55">
        <v>1E-4</v>
      </c>
      <c r="E61" s="27">
        <f>+(C61-C$7)/C$8-0.5</f>
        <v>17943.97294189853</v>
      </c>
      <c r="F61">
        <f>ROUND(2*E61,0)/2</f>
        <v>17944</v>
      </c>
      <c r="G61">
        <f>+C61-(C$7+F61*C$8)</f>
        <v>0.12273615999583853</v>
      </c>
      <c r="K61">
        <f>+G61</f>
        <v>0.12273615999583853</v>
      </c>
      <c r="O61">
        <f ca="1">+C$11+C$12*$F61</f>
        <v>8.660388399640756E-2</v>
      </c>
      <c r="P61" s="37">
        <f>+D$11+D$12*F61+D$13*F61^2</f>
        <v>8.9299716299875473E-2</v>
      </c>
      <c r="Q61" s="2">
        <f>+C61-15018.5</f>
        <v>42138.667300000001</v>
      </c>
      <c r="R61" s="39">
        <f>+(P61-G61)^2</f>
        <v>1.1179957670333078E-3</v>
      </c>
      <c r="S61" s="39">
        <v>1</v>
      </c>
      <c r="T61" s="39">
        <f>+S61*R61</f>
        <v>1.1179957670333078E-3</v>
      </c>
    </row>
    <row r="62" spans="1:20" x14ac:dyDescent="0.2">
      <c r="A62" s="59" t="s">
        <v>0</v>
      </c>
      <c r="B62" s="60" t="s">
        <v>48</v>
      </c>
      <c r="C62" s="59">
        <v>58358.048199999997</v>
      </c>
      <c r="D62" s="59">
        <v>6.9999999999999999E-4</v>
      </c>
      <c r="E62" s="27">
        <f>+(C62-C$7)/C$8-0.5</f>
        <v>22571.353273527704</v>
      </c>
      <c r="F62">
        <f>ROUND(2*E62,0)/2</f>
        <v>22571.5</v>
      </c>
      <c r="G62">
        <f>+C62-(C$7+F62*C$8)</f>
        <v>9.1680259996792302E-2</v>
      </c>
      <c r="K62">
        <f>+G62</f>
        <v>9.1680259996792302E-2</v>
      </c>
      <c r="O62">
        <f ca="1">+C$11+C$12*$F62</f>
        <v>0.11758030696739245</v>
      </c>
      <c r="P62" s="37">
        <f>+D$11+D$12*F62+D$13*F62^2</f>
        <v>0.1396013430011116</v>
      </c>
      <c r="Q62" s="2">
        <f>+C62-15018.5</f>
        <v>43339.548199999997</v>
      </c>
      <c r="R62" s="39">
        <f>+(P62-G62)^2</f>
        <v>2.29643019630686E-3</v>
      </c>
      <c r="S62" s="39">
        <v>1</v>
      </c>
      <c r="T62" s="39">
        <f>+S62*R62</f>
        <v>2.29643019630686E-3</v>
      </c>
    </row>
    <row r="63" spans="1:20" x14ac:dyDescent="0.2">
      <c r="A63" s="59" t="s">
        <v>0</v>
      </c>
      <c r="B63" s="60" t="s">
        <v>46</v>
      </c>
      <c r="C63" s="59">
        <v>58358.1777</v>
      </c>
      <c r="D63" s="59">
        <v>8.0000000000000004E-4</v>
      </c>
      <c r="E63" s="27">
        <f>+(C63-C$7)/C$8-0.5</f>
        <v>22571.852278677139</v>
      </c>
      <c r="F63">
        <f>ROUND(2*E63,0)/2</f>
        <v>22572</v>
      </c>
      <c r="G63">
        <f>+C63-(C$7+F63*C$8)</f>
        <v>9.1422079996846151E-2</v>
      </c>
      <c r="K63">
        <f>+G63</f>
        <v>9.1422079996846151E-2</v>
      </c>
      <c r="O63">
        <f ca="1">+C$11+C$12*$F63</f>
        <v>0.11758365396069022</v>
      </c>
      <c r="P63" s="37">
        <f>+D$11+D$12*F63+D$13*F63^2</f>
        <v>0.13960735315839648</v>
      </c>
      <c r="Q63" s="2">
        <f>+C63-15018.5</f>
        <v>43339.6777</v>
      </c>
      <c r="R63" s="39">
        <f>+(P63-G63)^2</f>
        <v>2.3218205496532223E-3</v>
      </c>
      <c r="S63" s="39">
        <v>1</v>
      </c>
      <c r="T63" s="39">
        <f>+S63*R63</f>
        <v>2.3218205496532223E-3</v>
      </c>
    </row>
    <row r="64" spans="1:20" x14ac:dyDescent="0.2">
      <c r="A64" s="61" t="s">
        <v>60</v>
      </c>
      <c r="B64" s="52" t="s">
        <v>46</v>
      </c>
      <c r="C64" s="53">
        <v>59075.268750000003</v>
      </c>
      <c r="D64" s="53">
        <v>5.1999999999999995E-4</v>
      </c>
      <c r="E64" s="27">
        <f>+(C64-C$7)/C$8-0.5</f>
        <v>25335.034723128821</v>
      </c>
      <c r="F64">
        <f>ROUND(2*E64,0)/2</f>
        <v>25335</v>
      </c>
      <c r="G64">
        <f>+C64-(C$7+F64*C$8)</f>
        <v>0.13876940000045579</v>
      </c>
      <c r="K64">
        <f>+G64</f>
        <v>0.13876940000045579</v>
      </c>
      <c r="O64">
        <f ca="1">+C$11+C$12*$F64</f>
        <v>0.13607913892424101</v>
      </c>
      <c r="P64" s="37">
        <f>+D$11+D$12*F64+D$13*F64^2</f>
        <v>0.17471708973788591</v>
      </c>
      <c r="Q64" s="2">
        <f>+C64-15018.5</f>
        <v>44056.768750000003</v>
      </c>
      <c r="R64" s="39">
        <f>+(P64-G64)^2</f>
        <v>1.2922363974585389E-3</v>
      </c>
      <c r="S64" s="39">
        <v>1</v>
      </c>
      <c r="T64" s="39">
        <f>+S64*R64</f>
        <v>1.2922363974585389E-3</v>
      </c>
    </row>
    <row r="65" spans="1:20" ht="12" customHeight="1" x14ac:dyDescent="0.2">
      <c r="A65" s="61" t="s">
        <v>60</v>
      </c>
      <c r="B65" s="52" t="s">
        <v>48</v>
      </c>
      <c r="C65" s="53">
        <v>59090.970379999999</v>
      </c>
      <c r="D65" s="53">
        <v>8.8999999999999995E-4</v>
      </c>
      <c r="E65" s="27">
        <f>+(C65-C$7)/C$8-0.5</f>
        <v>25395.538153432775</v>
      </c>
      <c r="F65">
        <f>ROUND(2*E65,0)/2</f>
        <v>25395.5</v>
      </c>
      <c r="G65">
        <f>+C65-(C$7+F65*C$8)</f>
        <v>0.13965961999201681</v>
      </c>
      <c r="K65">
        <f>+G65</f>
        <v>0.13965961999201681</v>
      </c>
      <c r="O65">
        <f ca="1">+C$11+C$12*$F65</f>
        <v>0.13648412511327279</v>
      </c>
      <c r="P65" s="37">
        <f>+D$11+D$12*F65+D$13*F65^2</f>
        <v>0.1755283227880258</v>
      </c>
      <c r="Q65" s="2">
        <f>+C65-15018.5</f>
        <v>44072.470379999999</v>
      </c>
      <c r="R65" s="39">
        <f>+(P65-G65)^2</f>
        <v>1.2865638402684227E-3</v>
      </c>
      <c r="S65" s="39">
        <v>1</v>
      </c>
      <c r="T65" s="39">
        <f>+S65*R65</f>
        <v>1.2865638402684227E-3</v>
      </c>
    </row>
    <row r="66" spans="1:20" ht="12" customHeight="1" x14ac:dyDescent="0.2">
      <c r="A66" s="61" t="s">
        <v>60</v>
      </c>
      <c r="B66" s="52" t="s">
        <v>46</v>
      </c>
      <c r="C66" s="53">
        <v>59091.100140000002</v>
      </c>
      <c r="D66" s="53">
        <v>5.9999999999999995E-4</v>
      </c>
      <c r="E66" s="27">
        <f>+(C66-C$7)/C$8-0.5</f>
        <v>25396.038160445834</v>
      </c>
      <c r="F66">
        <f>ROUND(2*E66,0)/2</f>
        <v>25396</v>
      </c>
      <c r="G66">
        <f>+C66-(C$7+F66*C$8)</f>
        <v>0.13966144000005443</v>
      </c>
      <c r="K66">
        <f>+G66</f>
        <v>0.13966144000005443</v>
      </c>
      <c r="O66">
        <f ca="1">+C$11+C$12*$F66</f>
        <v>0.13648747210657058</v>
      </c>
      <c r="P66" s="37">
        <f>+D$11+D$12*F66+D$13*F66^2</f>
        <v>0.17553503477334043</v>
      </c>
      <c r="Q66" s="2">
        <f>+C66-15018.5</f>
        <v>44072.600140000002</v>
      </c>
      <c r="R66" s="39">
        <f>+(P66-G66)^2</f>
        <v>1.2869148019579327E-3</v>
      </c>
      <c r="S66" s="39">
        <v>1</v>
      </c>
      <c r="T66" s="39">
        <f>+S66*R66</f>
        <v>1.2869148019579327E-3</v>
      </c>
    </row>
    <row r="67" spans="1:20" ht="12" customHeight="1" x14ac:dyDescent="0.2">
      <c r="A67" s="61" t="s">
        <v>60</v>
      </c>
      <c r="B67" s="52" t="s">
        <v>48</v>
      </c>
      <c r="C67" s="53">
        <v>59168.051350000002</v>
      </c>
      <c r="D67" s="53">
        <v>5.6999999999999998E-4</v>
      </c>
      <c r="E67" s="27">
        <f>+(C67-C$7)/C$8-0.5</f>
        <v>25692.555921407031</v>
      </c>
      <c r="F67">
        <f>ROUND(2*E67,0)/2</f>
        <v>25692.5</v>
      </c>
      <c r="G67">
        <f>+C67-(C$7+F67*C$8)</f>
        <v>0.14427070000238018</v>
      </c>
      <c r="K67">
        <f>+G67</f>
        <v>0.14427070000238018</v>
      </c>
      <c r="O67">
        <f ca="1">+C$11+C$12*$F67</f>
        <v>0.13847223913215612</v>
      </c>
      <c r="P67" s="37">
        <f>+D$11+D$12*F67+D$13*F67^2</f>
        <v>0.17953712709577768</v>
      </c>
      <c r="Q67" s="2">
        <f>+C67-15018.5</f>
        <v>44149.551350000002</v>
      </c>
      <c r="R67" s="39">
        <f>+(P67-G67)^2</f>
        <v>1.2437208799339213E-3</v>
      </c>
      <c r="S67" s="39">
        <v>1</v>
      </c>
      <c r="T67" s="39">
        <f>+S67*R67</f>
        <v>1.2437208799339213E-3</v>
      </c>
    </row>
    <row r="68" spans="1:20" ht="12" customHeight="1" x14ac:dyDescent="0.2">
      <c r="A68" s="45"/>
      <c r="B68" s="45"/>
      <c r="C68" s="43"/>
      <c r="D68" s="43"/>
    </row>
    <row r="69" spans="1:20" ht="12" customHeight="1" x14ac:dyDescent="0.2">
      <c r="A69" s="45"/>
      <c r="B69" s="45"/>
      <c r="C69" s="43"/>
      <c r="D69" s="43"/>
    </row>
    <row r="70" spans="1:20" x14ac:dyDescent="0.2">
      <c r="A70" s="45"/>
      <c r="B70" s="45"/>
      <c r="C70" s="43"/>
      <c r="D70" s="43"/>
    </row>
    <row r="71" spans="1:20" x14ac:dyDescent="0.2">
      <c r="A71" s="45"/>
      <c r="B71" s="45"/>
      <c r="C71" s="43"/>
      <c r="D71" s="43"/>
    </row>
    <row r="72" spans="1:20" x14ac:dyDescent="0.2">
      <c r="A72" s="45"/>
      <c r="B72" s="45"/>
      <c r="C72" s="43"/>
      <c r="D72" s="43"/>
    </row>
    <row r="73" spans="1:20" x14ac:dyDescent="0.2">
      <c r="A73" s="45"/>
      <c r="B73" s="45"/>
      <c r="C73" s="43"/>
      <c r="D73" s="43"/>
    </row>
    <row r="74" spans="1:20" x14ac:dyDescent="0.2">
      <c r="A74" s="45"/>
      <c r="B74" s="45"/>
      <c r="C74" s="43"/>
      <c r="D74" s="43"/>
    </row>
    <row r="75" spans="1:20" x14ac:dyDescent="0.2">
      <c r="A75" s="45"/>
      <c r="B75" s="45"/>
      <c r="C75" s="43"/>
      <c r="D75" s="43"/>
    </row>
    <row r="76" spans="1:20" x14ac:dyDescent="0.2">
      <c r="A76" s="45"/>
      <c r="B76" s="45"/>
      <c r="C76" s="43"/>
      <c r="D76" s="43"/>
    </row>
    <row r="77" spans="1:20" x14ac:dyDescent="0.2">
      <c r="A77" s="45"/>
      <c r="B77" s="45"/>
      <c r="C77" s="43"/>
      <c r="D77" s="43"/>
    </row>
    <row r="78" spans="1:20" x14ac:dyDescent="0.2">
      <c r="A78" s="45"/>
      <c r="B78" s="45"/>
      <c r="C78" s="43"/>
      <c r="D78" s="43"/>
    </row>
    <row r="79" spans="1:20" x14ac:dyDescent="0.2">
      <c r="A79" s="45"/>
      <c r="B79" s="45"/>
      <c r="C79" s="43"/>
      <c r="D79" s="43"/>
    </row>
    <row r="80" spans="1:20" x14ac:dyDescent="0.2">
      <c r="A80" s="45"/>
      <c r="B80" s="45"/>
      <c r="C80" s="43"/>
      <c r="D80" s="43"/>
    </row>
    <row r="81" spans="1:4" x14ac:dyDescent="0.2">
      <c r="A81" s="45"/>
      <c r="B81" s="45"/>
      <c r="C81" s="43"/>
      <c r="D81" s="43"/>
    </row>
    <row r="82" spans="1:4" x14ac:dyDescent="0.2">
      <c r="A82" s="45"/>
      <c r="B82" s="45"/>
      <c r="C82" s="43"/>
      <c r="D82" s="43"/>
    </row>
    <row r="83" spans="1:4" x14ac:dyDescent="0.2">
      <c r="A83" s="45"/>
      <c r="B83" s="45"/>
      <c r="C83" s="43"/>
      <c r="D83" s="43"/>
    </row>
    <row r="84" spans="1:4" x14ac:dyDescent="0.2">
      <c r="A84" s="45"/>
      <c r="B84" s="45"/>
      <c r="C84" s="43"/>
      <c r="D84" s="43"/>
    </row>
    <row r="85" spans="1:4" x14ac:dyDescent="0.2">
      <c r="A85" s="45"/>
      <c r="B85" s="45"/>
      <c r="C85" s="43"/>
      <c r="D85" s="43"/>
    </row>
    <row r="86" spans="1:4" x14ac:dyDescent="0.2">
      <c r="A86" s="45"/>
      <c r="B86" s="45"/>
      <c r="C86" s="43"/>
      <c r="D86" s="43"/>
    </row>
    <row r="87" spans="1:4" x14ac:dyDescent="0.2">
      <c r="A87" s="45"/>
      <c r="B87" s="45"/>
      <c r="C87" s="43"/>
      <c r="D87" s="43"/>
    </row>
    <row r="88" spans="1:4" x14ac:dyDescent="0.2">
      <c r="A88" s="45"/>
      <c r="B88" s="45"/>
      <c r="C88" s="43"/>
      <c r="D88" s="43"/>
    </row>
    <row r="89" spans="1:4" x14ac:dyDescent="0.2">
      <c r="A89" s="45"/>
      <c r="B89" s="45"/>
      <c r="C89" s="43"/>
      <c r="D89" s="43"/>
    </row>
    <row r="90" spans="1:4" x14ac:dyDescent="0.2">
      <c r="A90" s="45"/>
      <c r="B90" s="45"/>
      <c r="C90" s="43"/>
      <c r="D90" s="43"/>
    </row>
    <row r="91" spans="1:4" x14ac:dyDescent="0.2">
      <c r="A91" s="45"/>
      <c r="B91" s="45"/>
      <c r="C91" s="43"/>
      <c r="D91" s="43"/>
    </row>
    <row r="92" spans="1:4" x14ac:dyDescent="0.2">
      <c r="A92" s="45"/>
      <c r="B92" s="45"/>
      <c r="C92" s="43"/>
      <c r="D92" s="43"/>
    </row>
    <row r="93" spans="1:4" x14ac:dyDescent="0.2">
      <c r="A93" s="45"/>
      <c r="B93" s="45"/>
      <c r="C93" s="43"/>
      <c r="D93" s="43"/>
    </row>
    <row r="94" spans="1:4" x14ac:dyDescent="0.2">
      <c r="A94" s="45"/>
      <c r="B94" s="45"/>
      <c r="C94" s="43"/>
      <c r="D94" s="43"/>
    </row>
    <row r="95" spans="1:4" x14ac:dyDescent="0.2">
      <c r="A95" s="45"/>
      <c r="B95" s="45"/>
      <c r="C95" s="43"/>
      <c r="D95" s="43"/>
    </row>
    <row r="96" spans="1:4" x14ac:dyDescent="0.2">
      <c r="A96" s="45"/>
      <c r="B96" s="45"/>
      <c r="C96" s="43"/>
      <c r="D96" s="43"/>
    </row>
    <row r="97" spans="1:4" x14ac:dyDescent="0.2">
      <c r="A97" s="45"/>
      <c r="B97" s="45"/>
      <c r="C97" s="43"/>
      <c r="D97" s="43"/>
    </row>
    <row r="98" spans="1:4" x14ac:dyDescent="0.2">
      <c r="A98" s="45"/>
      <c r="B98" s="45"/>
      <c r="C98" s="43"/>
      <c r="D98" s="43"/>
    </row>
    <row r="99" spans="1:4" x14ac:dyDescent="0.2">
      <c r="A99" s="45"/>
      <c r="B99" s="45"/>
      <c r="C99" s="43"/>
      <c r="D99" s="43"/>
    </row>
    <row r="100" spans="1:4" x14ac:dyDescent="0.2">
      <c r="A100" s="45"/>
      <c r="B100" s="45"/>
      <c r="C100" s="43"/>
      <c r="D100" s="43"/>
    </row>
    <row r="101" spans="1:4" x14ac:dyDescent="0.2">
      <c r="A101" s="45"/>
      <c r="B101" s="45"/>
      <c r="C101" s="43"/>
      <c r="D101" s="43"/>
    </row>
    <row r="102" spans="1:4" x14ac:dyDescent="0.2">
      <c r="A102" s="45"/>
      <c r="B102" s="45"/>
      <c r="C102" s="43"/>
      <c r="D102" s="43"/>
    </row>
    <row r="103" spans="1:4" x14ac:dyDescent="0.2">
      <c r="A103" s="45"/>
      <c r="B103" s="45"/>
      <c r="C103" s="43"/>
      <c r="D103" s="43"/>
    </row>
    <row r="104" spans="1:4" x14ac:dyDescent="0.2">
      <c r="A104" s="45"/>
      <c r="B104" s="45"/>
      <c r="C104" s="43"/>
      <c r="D104" s="43"/>
    </row>
    <row r="105" spans="1:4" x14ac:dyDescent="0.2">
      <c r="A105" s="45"/>
      <c r="B105" s="45"/>
      <c r="C105" s="43"/>
      <c r="D105" s="43"/>
    </row>
    <row r="106" spans="1:4" x14ac:dyDescent="0.2">
      <c r="A106" s="45"/>
      <c r="B106" s="45"/>
      <c r="C106" s="43"/>
      <c r="D106" s="43"/>
    </row>
    <row r="107" spans="1:4" x14ac:dyDescent="0.2">
      <c r="A107" s="45"/>
      <c r="B107" s="45"/>
      <c r="C107" s="43"/>
      <c r="D107" s="43"/>
    </row>
    <row r="108" spans="1:4" x14ac:dyDescent="0.2">
      <c r="A108" s="45"/>
      <c r="B108" s="45"/>
      <c r="C108" s="43"/>
      <c r="D108" s="43"/>
    </row>
    <row r="109" spans="1:4" x14ac:dyDescent="0.2">
      <c r="A109" s="45"/>
      <c r="B109" s="45"/>
      <c r="C109" s="43"/>
      <c r="D109" s="43"/>
    </row>
    <row r="110" spans="1:4" x14ac:dyDescent="0.2">
      <c r="A110" s="45"/>
      <c r="B110" s="45"/>
      <c r="C110" s="43"/>
      <c r="D110" s="43"/>
    </row>
    <row r="111" spans="1:4" x14ac:dyDescent="0.2">
      <c r="A111" s="45"/>
      <c r="B111" s="45"/>
      <c r="C111" s="43"/>
      <c r="D111" s="43"/>
    </row>
    <row r="112" spans="1:4" x14ac:dyDescent="0.2">
      <c r="A112" s="45"/>
      <c r="B112" s="45"/>
      <c r="C112" s="43"/>
      <c r="D112" s="43"/>
    </row>
    <row r="113" spans="1:4" x14ac:dyDescent="0.2">
      <c r="A113" s="45"/>
      <c r="B113" s="45"/>
      <c r="C113" s="43"/>
      <c r="D113" s="43"/>
    </row>
    <row r="114" spans="1:4" x14ac:dyDescent="0.2">
      <c r="A114" s="45"/>
      <c r="B114" s="45"/>
      <c r="C114" s="43"/>
      <c r="D114" s="43"/>
    </row>
    <row r="115" spans="1:4" x14ac:dyDescent="0.2">
      <c r="A115" s="45"/>
      <c r="B115" s="45"/>
      <c r="C115" s="43"/>
      <c r="D115" s="43"/>
    </row>
    <row r="116" spans="1:4" x14ac:dyDescent="0.2">
      <c r="A116" s="45"/>
      <c r="B116" s="45"/>
      <c r="C116" s="43"/>
      <c r="D116" s="43"/>
    </row>
    <row r="117" spans="1:4" x14ac:dyDescent="0.2">
      <c r="A117" s="45"/>
      <c r="B117" s="45"/>
      <c r="C117" s="43"/>
      <c r="D117" s="43"/>
    </row>
    <row r="118" spans="1:4" x14ac:dyDescent="0.2">
      <c r="A118" s="45"/>
      <c r="B118" s="45"/>
      <c r="C118" s="43"/>
      <c r="D118" s="43"/>
    </row>
    <row r="119" spans="1:4" x14ac:dyDescent="0.2">
      <c r="A119" s="45"/>
      <c r="B119" s="45"/>
      <c r="C119" s="43"/>
      <c r="D119" s="43"/>
    </row>
    <row r="120" spans="1:4" x14ac:dyDescent="0.2">
      <c r="A120" s="45"/>
      <c r="B120" s="45"/>
      <c r="C120" s="43"/>
      <c r="D120" s="43"/>
    </row>
    <row r="121" spans="1:4" x14ac:dyDescent="0.2">
      <c r="A121" s="45"/>
      <c r="B121" s="45"/>
      <c r="C121" s="43"/>
      <c r="D121" s="43"/>
    </row>
    <row r="122" spans="1:4" x14ac:dyDescent="0.2">
      <c r="A122" s="45"/>
      <c r="B122" s="45"/>
      <c r="C122" s="43"/>
      <c r="D122" s="43"/>
    </row>
    <row r="123" spans="1:4" x14ac:dyDescent="0.2">
      <c r="A123" s="45"/>
      <c r="B123" s="45"/>
      <c r="C123" s="43"/>
      <c r="D123" s="43"/>
    </row>
    <row r="124" spans="1:4" x14ac:dyDescent="0.2">
      <c r="A124" s="45"/>
      <c r="B124" s="45"/>
      <c r="C124" s="43"/>
      <c r="D124" s="43"/>
    </row>
    <row r="125" spans="1:4" x14ac:dyDescent="0.2">
      <c r="A125" s="45"/>
      <c r="B125" s="45"/>
      <c r="C125" s="43"/>
      <c r="D125" s="43"/>
    </row>
    <row r="126" spans="1:4" x14ac:dyDescent="0.2">
      <c r="A126" s="45"/>
      <c r="B126" s="45"/>
      <c r="C126" s="43"/>
      <c r="D126" s="43"/>
    </row>
    <row r="127" spans="1:4" x14ac:dyDescent="0.2">
      <c r="A127" s="45"/>
      <c r="B127" s="45"/>
      <c r="C127" s="43"/>
      <c r="D127" s="43"/>
    </row>
    <row r="128" spans="1:4" x14ac:dyDescent="0.2">
      <c r="A128" s="45"/>
      <c r="B128" s="45"/>
      <c r="C128" s="43"/>
      <c r="D128" s="43"/>
    </row>
    <row r="129" spans="1:4" x14ac:dyDescent="0.2">
      <c r="A129" s="45"/>
      <c r="B129" s="45"/>
      <c r="C129" s="43"/>
      <c r="D129" s="43"/>
    </row>
    <row r="130" spans="1:4" x14ac:dyDescent="0.2">
      <c r="A130" s="45"/>
      <c r="B130" s="45"/>
      <c r="C130" s="43"/>
      <c r="D130" s="43"/>
    </row>
    <row r="131" spans="1:4" x14ac:dyDescent="0.2">
      <c r="A131" s="45"/>
      <c r="B131" s="45"/>
      <c r="C131" s="43"/>
      <c r="D131" s="43"/>
    </row>
    <row r="132" spans="1:4" x14ac:dyDescent="0.2">
      <c r="A132" s="45"/>
      <c r="B132" s="45"/>
      <c r="C132" s="43"/>
      <c r="D132" s="43"/>
    </row>
    <row r="133" spans="1:4" x14ac:dyDescent="0.2">
      <c r="A133" s="45"/>
      <c r="B133" s="45"/>
      <c r="C133" s="43"/>
      <c r="D133" s="43"/>
    </row>
    <row r="134" spans="1:4" x14ac:dyDescent="0.2">
      <c r="A134" s="45"/>
      <c r="B134" s="45"/>
      <c r="C134" s="43"/>
      <c r="D134" s="43"/>
    </row>
    <row r="135" spans="1:4" x14ac:dyDescent="0.2">
      <c r="A135" s="45"/>
      <c r="B135" s="45"/>
      <c r="C135" s="43"/>
      <c r="D135" s="43"/>
    </row>
    <row r="136" spans="1:4" x14ac:dyDescent="0.2">
      <c r="A136" s="45"/>
      <c r="B136" s="45"/>
      <c r="C136" s="43"/>
      <c r="D136" s="43"/>
    </row>
    <row r="137" spans="1:4" x14ac:dyDescent="0.2">
      <c r="A137" s="45"/>
      <c r="B137" s="45"/>
      <c r="C137" s="43"/>
      <c r="D137" s="43"/>
    </row>
    <row r="138" spans="1:4" x14ac:dyDescent="0.2">
      <c r="A138" s="45"/>
      <c r="B138" s="45"/>
      <c r="C138" s="43"/>
      <c r="D138" s="43"/>
    </row>
    <row r="139" spans="1:4" x14ac:dyDescent="0.2">
      <c r="A139" s="45"/>
      <c r="B139" s="45"/>
      <c r="C139" s="43"/>
      <c r="D139" s="43"/>
    </row>
    <row r="140" spans="1:4" x14ac:dyDescent="0.2">
      <c r="A140" s="45"/>
      <c r="B140" s="45"/>
      <c r="C140" s="43"/>
      <c r="D140" s="43"/>
    </row>
    <row r="141" spans="1:4" x14ac:dyDescent="0.2">
      <c r="A141" s="45"/>
      <c r="B141" s="45"/>
      <c r="C141" s="43"/>
      <c r="D141" s="43"/>
    </row>
    <row r="142" spans="1:4" x14ac:dyDescent="0.2">
      <c r="A142" s="45"/>
      <c r="B142" s="45"/>
      <c r="C142" s="43"/>
      <c r="D142" s="43"/>
    </row>
    <row r="143" spans="1:4" x14ac:dyDescent="0.2">
      <c r="A143" s="45"/>
      <c r="B143" s="45"/>
      <c r="C143" s="43"/>
      <c r="D143" s="43"/>
    </row>
    <row r="144" spans="1:4" x14ac:dyDescent="0.2">
      <c r="A144" s="45"/>
      <c r="B144" s="45"/>
      <c r="C144" s="43"/>
      <c r="D144" s="43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protectedRanges>
    <protectedRange sqref="A63:D63" name="Range1"/>
  </protectedRanges>
  <sortState xmlns:xlrd2="http://schemas.microsoft.com/office/spreadsheetml/2017/richdata2" ref="A21:U67">
    <sortCondition ref="C21:C67"/>
  </sortState>
  <phoneticPr fontId="7" type="noConversion"/>
  <hyperlinks>
    <hyperlink ref="H287" r:id="rId1" display="http://vsolj.cetus-net.org/bulletin.html"/>
    <hyperlink ref="H280" r:id="rId2" display="http://vsolj.cetus-net.org/bulletin.html"/>
    <hyperlink ref="H64211" r:id="rId3" display="http://vsolj.cetus-net.org/bulletin.html"/>
    <hyperlink ref="H64204" r:id="rId4" display="https://www.aavso.org/ejaavso"/>
    <hyperlink ref="I64211" r:id="rId5" display="http://vsolj.cetus-net.org/bulletin.html"/>
    <hyperlink ref="AQ57862" r:id="rId6" display="http://cdsbib.u-strasbg.fr/cgi-bin/cdsbib?1990RMxAA..21..381G"/>
    <hyperlink ref="H64208" r:id="rId7" display="https://www.aavso.org/ejaavso"/>
    <hyperlink ref="AP5226" r:id="rId8" display="http://cdsbib.u-strasbg.fr/cgi-bin/cdsbib?1990RMxAA..21..381G"/>
    <hyperlink ref="AP5229" r:id="rId9" display="http://cdsbib.u-strasbg.fr/cgi-bin/cdsbib?1990RMxAA..21..381G"/>
    <hyperlink ref="AP5227" r:id="rId10" display="http://cdsbib.u-strasbg.fr/cgi-bin/cdsbib?1990RMxAA..21..381G"/>
    <hyperlink ref="AP5211" r:id="rId11" display="http://cdsbib.u-strasbg.fr/cgi-bin/cdsbib?1990RMxAA..21..381G"/>
    <hyperlink ref="AQ5440" r:id="rId12" display="http://cdsbib.u-strasbg.fr/cgi-bin/cdsbib?1990RMxAA..21..381G"/>
    <hyperlink ref="AQ5444" r:id="rId13" display="http://cdsbib.u-strasbg.fr/cgi-bin/cdsbib?1990RMxAA..21..381G"/>
    <hyperlink ref="AQ65124" r:id="rId14" display="http://cdsbib.u-strasbg.fr/cgi-bin/cdsbib?1990RMxAA..21..381G"/>
    <hyperlink ref="I2332" r:id="rId15" display="http://vsolj.cetus-net.org/bulletin.html"/>
    <hyperlink ref="H2332" r:id="rId16" display="http://vsolj.cetus-net.org/bulletin.html"/>
    <hyperlink ref="AQ249" r:id="rId17" display="http://cdsbib.u-strasbg.fr/cgi-bin/cdsbib?1990RMxAA..21..381G"/>
    <hyperlink ref="AQ248" r:id="rId18" display="http://cdsbib.u-strasbg.fr/cgi-bin/cdsbib?1990RMxAA..21..381G"/>
    <hyperlink ref="AP3502" r:id="rId19" display="http://cdsbib.u-strasbg.fr/cgi-bin/cdsbib?1990RMxAA..21..381G"/>
    <hyperlink ref="AP3520" r:id="rId20" display="http://cdsbib.u-strasbg.fr/cgi-bin/cdsbib?1990RMxAA..21..381G"/>
    <hyperlink ref="AP3521" r:id="rId21" display="http://cdsbib.u-strasbg.fr/cgi-bin/cdsbib?1990RMxAA..21..381G"/>
    <hyperlink ref="AP3517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2023-01-14T05:46:25Z</dcterms:modified>
</cp:coreProperties>
</file>