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8D5C67D-65FC-4E8D-863D-D99CDFD0B493}" xr6:coauthVersionLast="47" xr6:coauthVersionMax="47" xr10:uidLastSave="{00000000-0000-0000-0000-000000000000}"/>
  <bookViews>
    <workbookView xWindow="14490" yWindow="138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K41" i="1" s="1"/>
  <c r="Q41" i="1"/>
  <c r="E37" i="1"/>
  <c r="F37" i="1"/>
  <c r="G37" i="1"/>
  <c r="K37" i="1"/>
  <c r="E34" i="1"/>
  <c r="F34" i="1"/>
  <c r="G34" i="1"/>
  <c r="K34" i="1"/>
  <c r="E35" i="1"/>
  <c r="F35" i="1"/>
  <c r="G35" i="1"/>
  <c r="K35" i="1"/>
  <c r="E36" i="1"/>
  <c r="F36" i="1"/>
  <c r="G36" i="1"/>
  <c r="K36" i="1"/>
  <c r="E38" i="1"/>
  <c r="F38" i="1"/>
  <c r="G38" i="1"/>
  <c r="K38" i="1"/>
  <c r="E39" i="1"/>
  <c r="F39" i="1"/>
  <c r="G39" i="1"/>
  <c r="K39" i="1"/>
  <c r="E40" i="1"/>
  <c r="F40" i="1"/>
  <c r="G40" i="1"/>
  <c r="K40" i="1"/>
  <c r="D9" i="1"/>
  <c r="C9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K33" i="1"/>
  <c r="Q4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G14" i="2"/>
  <c r="C14" i="2"/>
  <c r="E14" i="2"/>
  <c r="G13" i="2"/>
  <c r="C13" i="2"/>
  <c r="E13" i="2"/>
  <c r="G12" i="2"/>
  <c r="C12" i="2"/>
  <c r="E12" i="2"/>
  <c r="G28" i="2"/>
  <c r="C28" i="2"/>
  <c r="E28" i="2"/>
  <c r="G27" i="2"/>
  <c r="C27" i="2"/>
  <c r="E27" i="2"/>
  <c r="G11" i="2"/>
  <c r="C11" i="2"/>
  <c r="E11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H14" i="2"/>
  <c r="B14" i="2"/>
  <c r="D14" i="2"/>
  <c r="A14" i="2"/>
  <c r="H13" i="2"/>
  <c r="B13" i="2"/>
  <c r="D13" i="2"/>
  <c r="A13" i="2"/>
  <c r="H12" i="2"/>
  <c r="B12" i="2"/>
  <c r="D12" i="2"/>
  <c r="A12" i="2"/>
  <c r="H28" i="2"/>
  <c r="B28" i="2"/>
  <c r="D28" i="2"/>
  <c r="A28" i="2"/>
  <c r="H27" i="2"/>
  <c r="B27" i="2"/>
  <c r="D27" i="2"/>
  <c r="A27" i="2"/>
  <c r="H11" i="2"/>
  <c r="B11" i="2"/>
  <c r="D11" i="2"/>
  <c r="A11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39" i="1"/>
  <c r="Q37" i="1"/>
  <c r="Q38" i="1"/>
  <c r="Q36" i="1"/>
  <c r="F16" i="1"/>
  <c r="C17" i="1"/>
  <c r="Q33" i="1"/>
  <c r="C12" i="1"/>
  <c r="C11" i="1"/>
  <c r="O41" i="1" l="1"/>
  <c r="O21" i="1"/>
  <c r="O38" i="1"/>
  <c r="O37" i="1"/>
  <c r="C15" i="1"/>
  <c r="O29" i="1"/>
  <c r="O22" i="1"/>
  <c r="O30" i="1"/>
  <c r="O35" i="1"/>
  <c r="O23" i="1"/>
  <c r="O24" i="1"/>
  <c r="O34" i="1"/>
  <c r="O39" i="1"/>
  <c r="O31" i="1"/>
  <c r="O32" i="1"/>
  <c r="O36" i="1"/>
  <c r="O33" i="1"/>
  <c r="O40" i="1"/>
  <c r="O25" i="1"/>
  <c r="O26" i="1"/>
  <c r="O28" i="1"/>
  <c r="O27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<sst xmlns="http://schemas.openxmlformats.org/spreadsheetml/2006/main" count="250" uniqueCount="139">
  <si>
    <t>BAD?</t>
  </si>
  <si>
    <t>IBVS 6196</t>
  </si>
  <si>
    <t>0.0069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</si>
  <si>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</si>
  <si>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</si>
  <si>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</si>
  <si>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</si>
  <si>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</si>
  <si>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</si>
  <si>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</si>
  <si>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</si>
  <si>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</si>
  <si>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</si>
  <si>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</si>
  <si>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</si>
  <si>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</si>
  <si>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</si>
  <si>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</si>
  <si>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</si>
  <si>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</si>
  <si>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</si>
  <si>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</si>
  <si>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</si>
  <si>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</si>
  <si>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</si>
  <si>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</si>
  <si>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</si>
  <si>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</si>
  <si>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</si>
  <si>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</si>
  <si>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</si>
  <si>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</si>
  <si>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</si>
  <si>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</si>
  <si>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</si>
  <si>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</si>
  <si>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</si>
  <si>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DD Her / GSC 2103-0352   </t>
  </si>
  <si>
    <t>EA/SD:</t>
  </si>
  <si>
    <t>IBVS 5802</t>
  </si>
  <si>
    <t>not avail.</t>
  </si>
  <si>
    <t>Add cycle</t>
  </si>
  <si>
    <t>Old Cycle</t>
  </si>
  <si>
    <t>OEJV 0137</t>
  </si>
  <si>
    <t>I</t>
  </si>
  <si>
    <t>IBVS 5992</t>
  </si>
  <si>
    <t>IBVS 6010</t>
  </si>
  <si>
    <t>II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</si>
  <si>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</si>
  <si>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</si>
  <si>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</si>
  <si>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</si>
  <si>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</si>
  <si>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</si>
  <si>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</si>
  <si>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</si>
  <si>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</si>
  <si>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</si>
  <si>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</si>
  <si>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</si>
  <si>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2418560.30 </t>
  </si>
  <si>
    <t> 10.09.1909 19:12 </t>
  </si>
  <si>
    <t> 0.19 </t>
  </si>
  <si>
    <t>P </t>
  </si>
  <si>
    <t> P.Parenago </t>
  </si>
  <si>
    <t> PZ 5.200 </t>
  </si>
  <si>
    <t>2418921.29 </t>
  </si>
  <si>
    <t> 06.09.1910 18:57 </t>
  </si>
  <si>
    <t> 0.00 </t>
  </si>
  <si>
    <t>2426562.35 </t>
  </si>
  <si>
    <t> 08.08.1931 20:24 </t>
  </si>
  <si>
    <t> -0.00 </t>
  </si>
  <si>
    <t>V </t>
  </si>
  <si>
    <t> W.Zessewitsch </t>
  </si>
  <si>
    <t> IODE 4.2.89 </t>
  </si>
  <si>
    <t>2426579.18 </t>
  </si>
  <si>
    <t> 25.08.1931 16:19 </t>
  </si>
  <si>
    <t> -0.10 </t>
  </si>
  <si>
    <t>2426596.20 </t>
  </si>
  <si>
    <t> 11.09.1931 16:48 </t>
  </si>
  <si>
    <t> -0.01 </t>
  </si>
  <si>
    <t>2426607.35 </t>
  </si>
  <si>
    <t> 22.09.1931 20:24 </t>
  </si>
  <si>
    <t> -0.15 </t>
  </si>
  <si>
    <t>2429107.35 </t>
  </si>
  <si>
    <t> 27.07.1938 20:24 </t>
  </si>
  <si>
    <t>2431274.45 </t>
  </si>
  <si>
    <t> 02.07.1944 22:48 </t>
  </si>
  <si>
    <t> -0.08 </t>
  </si>
  <si>
    <t>2431291.40 </t>
  </si>
  <si>
    <t> 19.07.1944 21:36 </t>
  </si>
  <si>
    <t> -0.06 </t>
  </si>
  <si>
    <t>2431314.19 </t>
  </si>
  <si>
    <t> 11.08.1944 16:33 </t>
  </si>
  <si>
    <t> 0.15 </t>
  </si>
  <si>
    <t>2431325.33 </t>
  </si>
  <si>
    <t> 22.08.1944 19:55 </t>
  </si>
  <si>
    <t> 0.01 </t>
  </si>
  <si>
    <t>2431342.31 </t>
  </si>
  <si>
    <t> 08.09.1944 19:26 </t>
  </si>
  <si>
    <t> 0.06 </t>
  </si>
  <si>
    <t>2454271.4623 </t>
  </si>
  <si>
    <t> 19.06.2007 23:05 </t>
  </si>
  <si>
    <t> 0.3629 </t>
  </si>
  <si>
    <t>C </t>
  </si>
  <si>
    <t>-I</t>
  </si>
  <si>
    <t> F.Agerer </t>
  </si>
  <si>
    <t>BAVM 186 </t>
  </si>
  <si>
    <t>2454999.4611 </t>
  </si>
  <si>
    <t> 16.06.2009 23:03 </t>
  </si>
  <si>
    <t>5039</t>
  </si>
  <si>
    <t> 0.3723 </t>
  </si>
  <si>
    <t>o</t>
  </si>
  <si>
    <t> U.Schmidt </t>
  </si>
  <si>
    <t>BAVM 212 </t>
  </si>
  <si>
    <t>2455315.4847 </t>
  </si>
  <si>
    <t> 28.04.2010 23:37 </t>
  </si>
  <si>
    <t>5095</t>
  </si>
  <si>
    <t> 0.3694 </t>
  </si>
  <si>
    <t>R</t>
  </si>
  <si>
    <t> R.Kocián </t>
  </si>
  <si>
    <t>OEJV 0137 </t>
  </si>
  <si>
    <t>2455645.6362 </t>
  </si>
  <si>
    <t> 25.03.2011 03:16 </t>
  </si>
  <si>
    <t>5153.5</t>
  </si>
  <si>
    <t> 0.3862 </t>
  </si>
  <si>
    <t>BAVM 220 </t>
  </si>
  <si>
    <t>2455738.7384 </t>
  </si>
  <si>
    <t> 26.06.2011 05:43 </t>
  </si>
  <si>
    <t>5170</t>
  </si>
  <si>
    <t> 0.3735 </t>
  </si>
  <si>
    <t> R.Diethelm </t>
  </si>
  <si>
    <t>IBVS 5992 </t>
  </si>
  <si>
    <t>2456737.6024 </t>
  </si>
  <si>
    <t> 21.03.2014 02:27 </t>
  </si>
  <si>
    <t>5347</t>
  </si>
  <si>
    <t> 0.3682 </t>
  </si>
  <si>
    <t>BAVM 238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</si>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</sst>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8" xfId="0" applyFont="1" applyBorder="1" applyAlignment="1">
      <alignment horizont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76" fontId="38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Her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D1-4901-907E-DC9B09504D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0.2913298167004541</c:v>
                </c:pt>
                <c:pt idx="1">
                  <c:v>0.10354342159553198</c:v>
                </c:pt>
                <c:pt idx="2">
                  <c:v>-4.0000000008149073E-3</c:v>
                </c:pt>
                <c:pt idx="3">
                  <c:v>-0.10420873726980062</c:v>
                </c:pt>
                <c:pt idx="4">
                  <c:v>-1.4417474540096009E-2</c:v>
                </c:pt>
                <c:pt idx="5">
                  <c:v>-0.15122329938822077</c:v>
                </c:pt>
                <c:pt idx="6">
                  <c:v>-0.17871350305358646</c:v>
                </c:pt>
                <c:pt idx="7">
                  <c:v>-0.14543187372328248</c:v>
                </c:pt>
                <c:pt idx="8">
                  <c:v>-0.12564061099328683</c:v>
                </c:pt>
                <c:pt idx="9">
                  <c:v>9.0747739308426389E-2</c:v>
                </c:pt>
                <c:pt idx="10">
                  <c:v>-5.6058085534459678E-2</c:v>
                </c:pt>
                <c:pt idx="11">
                  <c:v>-6.2668228056281805E-3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D1-4901-907E-DC9B09504D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D1-4901-907E-DC9B09504D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2">
                  <c:v>0</c:v>
                </c:pt>
                <c:pt idx="13">
                  <c:v>-1.7570264753885567E-4</c:v>
                </c:pt>
                <c:pt idx="14">
                  <c:v>-7.138798369851429E-3</c:v>
                </c:pt>
                <c:pt idx="15">
                  <c:v>-7.1087983742472716E-3</c:v>
                </c:pt>
                <c:pt idx="16">
                  <c:v>5.290824847179465E-3</c:v>
                </c:pt>
                <c:pt idx="17">
                  <c:v>-8.6572301370324567E-3</c:v>
                </c:pt>
                <c:pt idx="18">
                  <c:v>-2.6972729123372119E-2</c:v>
                </c:pt>
                <c:pt idx="19">
                  <c:v>-3.6374643590534106E-2</c:v>
                </c:pt>
                <c:pt idx="20">
                  <c:v>-3.5329918529896531E-2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D1-4901-907E-DC9B09504D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D1-4901-907E-DC9B09504D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D1-4901-907E-DC9B09504D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D1-4901-907E-DC9B09504D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0.32308871144107998</c:v>
                </c:pt>
                <c:pt idx="1">
                  <c:v>0.31985579675949283</c:v>
                </c:pt>
                <c:pt idx="2">
                  <c:v>0.25145944552716504</c:v>
                </c:pt>
                <c:pt idx="3">
                  <c:v>0.25130790265146569</c:v>
                </c:pt>
                <c:pt idx="4">
                  <c:v>0.25115635977576628</c:v>
                </c:pt>
                <c:pt idx="5">
                  <c:v>0.25105533119196666</c:v>
                </c:pt>
                <c:pt idx="6">
                  <c:v>0.22867749988035574</c:v>
                </c:pt>
                <c:pt idx="7">
                  <c:v>0.20928001179083294</c:v>
                </c:pt>
                <c:pt idx="8">
                  <c:v>0.20912846891513356</c:v>
                </c:pt>
                <c:pt idx="9">
                  <c:v>0.20892641174753437</c:v>
                </c:pt>
                <c:pt idx="10">
                  <c:v>0.20882538316373475</c:v>
                </c:pt>
                <c:pt idx="11">
                  <c:v>0.20867384028803537</c:v>
                </c:pt>
                <c:pt idx="12">
                  <c:v>3.4342722991522346E-3</c:v>
                </c:pt>
                <c:pt idx="13">
                  <c:v>-3.0820713559218298E-3</c:v>
                </c:pt>
                <c:pt idx="14">
                  <c:v>-5.9108717023105706E-3</c:v>
                </c:pt>
                <c:pt idx="15">
                  <c:v>-5.9108717023105706E-3</c:v>
                </c:pt>
                <c:pt idx="16">
                  <c:v>-8.8659577784488096E-3</c:v>
                </c:pt>
                <c:pt idx="17">
                  <c:v>-9.6994435947954909E-3</c:v>
                </c:pt>
                <c:pt idx="18">
                  <c:v>-1.8640473261059907E-2</c:v>
                </c:pt>
                <c:pt idx="19">
                  <c:v>-2.5611445543232157E-2</c:v>
                </c:pt>
                <c:pt idx="20">
                  <c:v>-4.2180133286366217E-2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D1-4901-907E-DC9B09504D2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D1-4901-907E-DC9B0950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73408"/>
        <c:axId val="1"/>
      </c:scatterChart>
      <c:valAx>
        <c:axId val="7181734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73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Her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03315478538321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BF-4E95-A27E-B67A0EC57C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0.2913298167004541</c:v>
                </c:pt>
                <c:pt idx="1">
                  <c:v>0.10354342159553198</c:v>
                </c:pt>
                <c:pt idx="2">
                  <c:v>-4.0000000008149073E-3</c:v>
                </c:pt>
                <c:pt idx="3">
                  <c:v>-0.10420873726980062</c:v>
                </c:pt>
                <c:pt idx="4">
                  <c:v>-1.4417474540096009E-2</c:v>
                </c:pt>
                <c:pt idx="5">
                  <c:v>-0.15122329938822077</c:v>
                </c:pt>
                <c:pt idx="6">
                  <c:v>-0.17871350305358646</c:v>
                </c:pt>
                <c:pt idx="7">
                  <c:v>-0.14543187372328248</c:v>
                </c:pt>
                <c:pt idx="8">
                  <c:v>-0.12564061099328683</c:v>
                </c:pt>
                <c:pt idx="9">
                  <c:v>9.0747739308426389E-2</c:v>
                </c:pt>
                <c:pt idx="10">
                  <c:v>-5.6058085534459678E-2</c:v>
                </c:pt>
                <c:pt idx="11">
                  <c:v>-6.2668228056281805E-3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BF-4E95-A27E-B67A0EC57C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BF-4E95-A27E-B67A0EC57C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2">
                  <c:v>0</c:v>
                </c:pt>
                <c:pt idx="13">
                  <c:v>-1.7570264753885567E-4</c:v>
                </c:pt>
                <c:pt idx="14">
                  <c:v>-7.138798369851429E-3</c:v>
                </c:pt>
                <c:pt idx="15">
                  <c:v>-7.1087983742472716E-3</c:v>
                </c:pt>
                <c:pt idx="16">
                  <c:v>5.290824847179465E-3</c:v>
                </c:pt>
                <c:pt idx="17">
                  <c:v>-8.6572301370324567E-3</c:v>
                </c:pt>
                <c:pt idx="18">
                  <c:v>-2.6972729123372119E-2</c:v>
                </c:pt>
                <c:pt idx="19">
                  <c:v>-3.6374643590534106E-2</c:v>
                </c:pt>
                <c:pt idx="20">
                  <c:v>-3.5329918529896531E-2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BF-4E95-A27E-B67A0EC57C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BF-4E95-A27E-B67A0EC57C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BF-4E95-A27E-B67A0EC57C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2.3E-3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6.9999999999999999E-4</c:v>
                  </c:pt>
                  <c:pt idx="16">
                    <c:v>2.8E-3</c:v>
                  </c:pt>
                  <c:pt idx="17">
                    <c:v>8.9999999999999998E-4</c:v>
                  </c:pt>
                  <c:pt idx="18">
                    <c:v>1.6999999999999999E-3</c:v>
                  </c:pt>
                  <c:pt idx="19">
                    <c:v>0</c:v>
                  </c:pt>
                  <c:pt idx="20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BF-4E95-A27E-B67A0EC57C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0.32308871144107998</c:v>
                </c:pt>
                <c:pt idx="1">
                  <c:v>0.31985579675949283</c:v>
                </c:pt>
                <c:pt idx="2">
                  <c:v>0.25145944552716504</c:v>
                </c:pt>
                <c:pt idx="3">
                  <c:v>0.25130790265146569</c:v>
                </c:pt>
                <c:pt idx="4">
                  <c:v>0.25115635977576628</c:v>
                </c:pt>
                <c:pt idx="5">
                  <c:v>0.25105533119196666</c:v>
                </c:pt>
                <c:pt idx="6">
                  <c:v>0.22867749988035574</c:v>
                </c:pt>
                <c:pt idx="7">
                  <c:v>0.20928001179083294</c:v>
                </c:pt>
                <c:pt idx="8">
                  <c:v>0.20912846891513356</c:v>
                </c:pt>
                <c:pt idx="9">
                  <c:v>0.20892641174753437</c:v>
                </c:pt>
                <c:pt idx="10">
                  <c:v>0.20882538316373475</c:v>
                </c:pt>
                <c:pt idx="11">
                  <c:v>0.20867384028803537</c:v>
                </c:pt>
                <c:pt idx="12">
                  <c:v>3.4342722991522346E-3</c:v>
                </c:pt>
                <c:pt idx="13">
                  <c:v>-3.0820713559218298E-3</c:v>
                </c:pt>
                <c:pt idx="14">
                  <c:v>-5.9108717023105706E-3</c:v>
                </c:pt>
                <c:pt idx="15">
                  <c:v>-5.9108717023105706E-3</c:v>
                </c:pt>
                <c:pt idx="16">
                  <c:v>-8.8659577784488096E-3</c:v>
                </c:pt>
                <c:pt idx="17">
                  <c:v>-9.6994435947954909E-3</c:v>
                </c:pt>
                <c:pt idx="18">
                  <c:v>-1.8640473261059907E-2</c:v>
                </c:pt>
                <c:pt idx="19">
                  <c:v>-2.5611445543232157E-2</c:v>
                </c:pt>
                <c:pt idx="20">
                  <c:v>-4.2180133286366217E-2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BF-4E95-A27E-B67A0EC57C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-6328</c:v>
                </c:pt>
                <c:pt idx="1">
                  <c:v>-6264</c:v>
                </c:pt>
                <c:pt idx="2">
                  <c:v>-4910</c:v>
                </c:pt>
                <c:pt idx="3">
                  <c:v>-4907</c:v>
                </c:pt>
                <c:pt idx="4">
                  <c:v>-4904</c:v>
                </c:pt>
                <c:pt idx="5">
                  <c:v>-4902</c:v>
                </c:pt>
                <c:pt idx="6">
                  <c:v>-4459</c:v>
                </c:pt>
                <c:pt idx="7">
                  <c:v>-4075</c:v>
                </c:pt>
                <c:pt idx="8">
                  <c:v>-4072</c:v>
                </c:pt>
                <c:pt idx="9">
                  <c:v>-4068</c:v>
                </c:pt>
                <c:pt idx="10">
                  <c:v>-4066</c:v>
                </c:pt>
                <c:pt idx="11">
                  <c:v>-4063</c:v>
                </c:pt>
                <c:pt idx="12">
                  <c:v>0</c:v>
                </c:pt>
                <c:pt idx="13">
                  <c:v>129</c:v>
                </c:pt>
                <c:pt idx="14">
                  <c:v>185</c:v>
                </c:pt>
                <c:pt idx="15">
                  <c:v>185</c:v>
                </c:pt>
                <c:pt idx="16">
                  <c:v>243.5</c:v>
                </c:pt>
                <c:pt idx="17">
                  <c:v>260</c:v>
                </c:pt>
                <c:pt idx="18">
                  <c:v>437</c:v>
                </c:pt>
                <c:pt idx="19">
                  <c:v>575</c:v>
                </c:pt>
                <c:pt idx="20">
                  <c:v>903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BF-4E95-A27E-B67A0EC57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79312"/>
        <c:axId val="1"/>
      </c:scatterChart>
      <c:valAx>
        <c:axId val="71817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7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015164771070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719366E-BB37-E4FD-3AFB-89516D86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B1A7224F-B9FB-569B-0DCE-3FB39F61A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26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8" t="s">
        <v>40</v>
      </c>
      <c r="D4" s="9" t="s">
        <v>40</v>
      </c>
    </row>
    <row r="5" spans="1:6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>
        <v>54271.462299999999</v>
      </c>
    </row>
    <row r="8" spans="1:6" x14ac:dyDescent="0.2">
      <c r="A8" t="s">
        <v>6</v>
      </c>
      <c r="C8">
        <v>5.6434029124236256</v>
      </c>
    </row>
    <row r="9" spans="1:6" x14ac:dyDescent="0.2">
      <c r="A9" s="26" t="s">
        <v>36</v>
      </c>
      <c r="B9" s="27">
        <v>33</v>
      </c>
      <c r="C9" s="24" t="str">
        <f>"F"&amp;B9</f>
        <v>F33</v>
      </c>
      <c r="D9" s="25" t="str">
        <f>"G"&amp;B9</f>
        <v>G33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23">
        <f ca="1">INTERCEPT(INDIRECT($D$9):G992,INDIRECT($C$9):F992)</f>
        <v>3.4342722991522346E-3</v>
      </c>
      <c r="D11" s="3"/>
      <c r="E11" s="12"/>
    </row>
    <row r="12" spans="1:6" x14ac:dyDescent="0.2">
      <c r="A12" s="12" t="s">
        <v>19</v>
      </c>
      <c r="B12" s="12"/>
      <c r="C12" s="23">
        <f ca="1">SLOPE(INDIRECT($D$9):G992,INDIRECT($C$9):F992)</f>
        <v>-5.0514291899798947E-5</v>
      </c>
      <c r="D12" s="3"/>
      <c r="E12" s="12"/>
    </row>
    <row r="13" spans="1:6" x14ac:dyDescent="0.2">
      <c r="A13" s="12" t="s">
        <v>21</v>
      </c>
      <c r="B13" s="12"/>
      <c r="C13" s="3" t="s">
        <v>16</v>
      </c>
    </row>
    <row r="14" spans="1:6" x14ac:dyDescent="0.2">
      <c r="A14" s="12"/>
      <c r="B14" s="12"/>
      <c r="C14" s="12"/>
    </row>
    <row r="15" spans="1:6" x14ac:dyDescent="0.2">
      <c r="A15" s="14" t="s">
        <v>20</v>
      </c>
      <c r="B15" s="12"/>
      <c r="C15" s="15">
        <f ca="1">(C7+C11)+(C8+C12)*INT(MAX(F21:F3533))</f>
        <v>59367.412949785248</v>
      </c>
      <c r="E15" s="16" t="s">
        <v>41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5.643352398131726</v>
      </c>
      <c r="E16" s="16" t="s">
        <v>33</v>
      </c>
      <c r="F16" s="17">
        <f ca="1">NOW()+15018.5+$C$5/24</f>
        <v>59958.794936342587</v>
      </c>
    </row>
    <row r="17" spans="1:21" ht="13.5" thickBot="1" x14ac:dyDescent="0.25">
      <c r="A17" s="16" t="s">
        <v>30</v>
      </c>
      <c r="B17" s="12"/>
      <c r="C17" s="12">
        <f>COUNT(C21:C2191)</f>
        <v>21</v>
      </c>
      <c r="E17" s="16" t="s">
        <v>42</v>
      </c>
      <c r="F17" s="17">
        <f ca="1">ROUND(2*(F16-$C$7)/$C$8,0)/2+F15</f>
        <v>1009</v>
      </c>
    </row>
    <row r="18" spans="1:21" ht="14.25" thickTop="1" thickBot="1" x14ac:dyDescent="0.25">
      <c r="A18" s="18" t="s">
        <v>8</v>
      </c>
      <c r="B18" s="12"/>
      <c r="C18" s="21">
        <f ca="1">+C15</f>
        <v>59367.412949785248</v>
      </c>
      <c r="D18" s="22">
        <f ca="1">+C16</f>
        <v>5.643352398131726</v>
      </c>
      <c r="E18" s="16" t="s">
        <v>34</v>
      </c>
      <c r="F18" s="25">
        <f ca="1">ROUND(2*(F16-$C$15)/$C$16,0)/2+F15</f>
        <v>106</v>
      </c>
    </row>
    <row r="19" spans="1:21" ht="13.5" thickTop="1" x14ac:dyDescent="0.2">
      <c r="E19" s="16" t="s">
        <v>35</v>
      </c>
      <c r="F19" s="20">
        <f ca="1">+$C$15+$C$16*F18-15018.5-$C$5/24</f>
        <v>44947.504137320546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57" t="s">
        <v>0</v>
      </c>
    </row>
    <row r="21" spans="1:21" x14ac:dyDescent="0.2">
      <c r="A21" s="44" t="s">
        <v>65</v>
      </c>
      <c r="B21" s="46" t="s">
        <v>44</v>
      </c>
      <c r="C21" s="45">
        <v>18560.3</v>
      </c>
      <c r="D21" s="45" t="s">
        <v>59</v>
      </c>
      <c r="E21">
        <f t="shared" ref="E21:E39" si="0">+(C21-C$7)/C$8</f>
        <v>-6327.9483769241315</v>
      </c>
      <c r="F21">
        <f t="shared" ref="F21:F40" si="1">ROUND(2*E21,0)/2</f>
        <v>-6328</v>
      </c>
      <c r="G21">
        <f t="shared" ref="G21:G36" si="2">+C21-(C$7+F21*C$8)</f>
        <v>0.2913298167004541</v>
      </c>
      <c r="I21">
        <f t="shared" ref="I21:I32" si="3">+G21</f>
        <v>0.2913298167004541</v>
      </c>
      <c r="O21">
        <f t="shared" ref="O21:O39" ca="1" si="4">+C$11+C$12*$F21</f>
        <v>0.32308871144107998</v>
      </c>
      <c r="Q21" s="2">
        <f t="shared" ref="Q21:Q39" si="5">+C21-15018.5</f>
        <v>3541.7999999999993</v>
      </c>
    </row>
    <row r="22" spans="1:21" x14ac:dyDescent="0.2">
      <c r="A22" s="44" t="s">
        <v>65</v>
      </c>
      <c r="B22" s="46" t="s">
        <v>44</v>
      </c>
      <c r="C22" s="45">
        <v>18921.29</v>
      </c>
      <c r="D22" s="45" t="s">
        <v>59</v>
      </c>
      <c r="E22">
        <f t="shared" si="0"/>
        <v>-6263.9816523074469</v>
      </c>
      <c r="F22">
        <f t="shared" si="1"/>
        <v>-6264</v>
      </c>
      <c r="G22">
        <f t="shared" si="2"/>
        <v>0.10354342159553198</v>
      </c>
      <c r="I22">
        <f t="shared" si="3"/>
        <v>0.10354342159553198</v>
      </c>
      <c r="O22">
        <f t="shared" ca="1" si="4"/>
        <v>0.31985579675949283</v>
      </c>
      <c r="Q22" s="2">
        <f t="shared" si="5"/>
        <v>3902.7900000000009</v>
      </c>
    </row>
    <row r="23" spans="1:21" x14ac:dyDescent="0.2">
      <c r="A23" s="44" t="s">
        <v>74</v>
      </c>
      <c r="B23" s="46" t="s">
        <v>44</v>
      </c>
      <c r="C23" s="45">
        <v>26562.35</v>
      </c>
      <c r="D23" s="45" t="s">
        <v>59</v>
      </c>
      <c r="E23">
        <f t="shared" si="0"/>
        <v>-4910.0007087922058</v>
      </c>
      <c r="F23">
        <f t="shared" si="1"/>
        <v>-4910</v>
      </c>
      <c r="G23">
        <f t="shared" si="2"/>
        <v>-4.0000000008149073E-3</v>
      </c>
      <c r="I23">
        <f t="shared" si="3"/>
        <v>-4.0000000008149073E-3</v>
      </c>
      <c r="O23">
        <f t="shared" ca="1" si="4"/>
        <v>0.25145944552716504</v>
      </c>
      <c r="Q23" s="2">
        <f t="shared" si="5"/>
        <v>11543.849999999999</v>
      </c>
    </row>
    <row r="24" spans="1:21" x14ac:dyDescent="0.2">
      <c r="A24" s="44" t="s">
        <v>74</v>
      </c>
      <c r="B24" s="46" t="s">
        <v>44</v>
      </c>
      <c r="C24" s="45">
        <v>26579.18</v>
      </c>
      <c r="D24" s="45" t="s">
        <v>59</v>
      </c>
      <c r="E24">
        <f t="shared" si="0"/>
        <v>-4907.0184655851945</v>
      </c>
      <c r="F24">
        <f t="shared" si="1"/>
        <v>-4907</v>
      </c>
      <c r="G24">
        <f t="shared" si="2"/>
        <v>-0.10420873726980062</v>
      </c>
      <c r="I24">
        <f t="shared" si="3"/>
        <v>-0.10420873726980062</v>
      </c>
      <c r="O24">
        <f t="shared" ca="1" si="4"/>
        <v>0.25130790265146569</v>
      </c>
      <c r="Q24" s="2">
        <f t="shared" si="5"/>
        <v>11560.68</v>
      </c>
    </row>
    <row r="25" spans="1:21" x14ac:dyDescent="0.2">
      <c r="A25" s="44" t="s">
        <v>74</v>
      </c>
      <c r="B25" s="46" t="s">
        <v>44</v>
      </c>
      <c r="C25" s="45">
        <v>26596.2</v>
      </c>
      <c r="D25" s="45" t="s">
        <v>59</v>
      </c>
      <c r="E25">
        <f t="shared" si="0"/>
        <v>-4904.0025547483956</v>
      </c>
      <c r="F25">
        <f t="shared" si="1"/>
        <v>-4904</v>
      </c>
      <c r="G25">
        <f t="shared" si="2"/>
        <v>-1.4417474540096009E-2</v>
      </c>
      <c r="I25">
        <f t="shared" si="3"/>
        <v>-1.4417474540096009E-2</v>
      </c>
      <c r="O25">
        <f t="shared" ca="1" si="4"/>
        <v>0.25115635977576628</v>
      </c>
      <c r="Q25" s="2">
        <f t="shared" si="5"/>
        <v>11577.7</v>
      </c>
    </row>
    <row r="26" spans="1:21" x14ac:dyDescent="0.2">
      <c r="A26" s="44" t="s">
        <v>74</v>
      </c>
      <c r="B26" s="46" t="s">
        <v>44</v>
      </c>
      <c r="C26" s="45">
        <v>26607.35</v>
      </c>
      <c r="D26" s="45" t="s">
        <v>59</v>
      </c>
      <c r="E26">
        <f t="shared" si="0"/>
        <v>-4902.0267964739951</v>
      </c>
      <c r="F26">
        <f t="shared" si="1"/>
        <v>-4902</v>
      </c>
      <c r="G26">
        <f t="shared" si="2"/>
        <v>-0.15122329938822077</v>
      </c>
      <c r="I26">
        <f t="shared" si="3"/>
        <v>-0.15122329938822077</v>
      </c>
      <c r="O26">
        <f t="shared" ca="1" si="4"/>
        <v>0.25105533119196666</v>
      </c>
      <c r="Q26" s="2">
        <f t="shared" si="5"/>
        <v>11588.849999999999</v>
      </c>
    </row>
    <row r="27" spans="1:21" x14ac:dyDescent="0.2">
      <c r="A27" s="44" t="s">
        <v>74</v>
      </c>
      <c r="B27" s="46" t="s">
        <v>44</v>
      </c>
      <c r="C27" s="45">
        <v>29107.35</v>
      </c>
      <c r="D27" s="45" t="s">
        <v>59</v>
      </c>
      <c r="E27">
        <f t="shared" si="0"/>
        <v>-4459.0316676845205</v>
      </c>
      <c r="F27">
        <f t="shared" si="1"/>
        <v>-4459</v>
      </c>
      <c r="G27">
        <f t="shared" si="2"/>
        <v>-0.17871350305358646</v>
      </c>
      <c r="I27">
        <f t="shared" si="3"/>
        <v>-0.17871350305358646</v>
      </c>
      <c r="O27">
        <f t="shared" ca="1" si="4"/>
        <v>0.22867749988035574</v>
      </c>
      <c r="Q27" s="2">
        <f t="shared" si="5"/>
        <v>14088.849999999999</v>
      </c>
    </row>
    <row r="28" spans="1:21" x14ac:dyDescent="0.2">
      <c r="A28" s="44" t="s">
        <v>74</v>
      </c>
      <c r="B28" s="46" t="s">
        <v>44</v>
      </c>
      <c r="C28" s="45">
        <v>31274.45</v>
      </c>
      <c r="D28" s="45" t="s">
        <v>59</v>
      </c>
      <c r="E28">
        <f t="shared" si="0"/>
        <v>-4075.0257702446524</v>
      </c>
      <c r="F28">
        <f t="shared" si="1"/>
        <v>-4075</v>
      </c>
      <c r="G28">
        <f t="shared" si="2"/>
        <v>-0.14543187372328248</v>
      </c>
      <c r="I28">
        <f t="shared" si="3"/>
        <v>-0.14543187372328248</v>
      </c>
      <c r="O28">
        <f t="shared" ca="1" si="4"/>
        <v>0.20928001179083294</v>
      </c>
      <c r="Q28" s="2">
        <f t="shared" si="5"/>
        <v>16255.95</v>
      </c>
    </row>
    <row r="29" spans="1:21" x14ac:dyDescent="0.2">
      <c r="A29" s="44" t="s">
        <v>74</v>
      </c>
      <c r="B29" s="46" t="s">
        <v>44</v>
      </c>
      <c r="C29" s="45">
        <v>31291.4</v>
      </c>
      <c r="D29" s="45" t="s">
        <v>59</v>
      </c>
      <c r="E29">
        <f t="shared" si="0"/>
        <v>-4072.0222632714595</v>
      </c>
      <c r="F29">
        <f t="shared" si="1"/>
        <v>-4072</v>
      </c>
      <c r="G29">
        <f t="shared" si="2"/>
        <v>-0.12564061099328683</v>
      </c>
      <c r="I29">
        <f t="shared" si="3"/>
        <v>-0.12564061099328683</v>
      </c>
      <c r="O29">
        <f t="shared" ca="1" si="4"/>
        <v>0.20912846891513356</v>
      </c>
      <c r="Q29" s="2">
        <f t="shared" si="5"/>
        <v>16272.900000000001</v>
      </c>
    </row>
    <row r="30" spans="1:21" x14ac:dyDescent="0.2">
      <c r="A30" s="44" t="s">
        <v>74</v>
      </c>
      <c r="B30" s="46" t="s">
        <v>44</v>
      </c>
      <c r="C30" s="45">
        <v>31314.19</v>
      </c>
      <c r="D30" s="45" t="s">
        <v>59</v>
      </c>
      <c r="E30">
        <f t="shared" si="0"/>
        <v>-4067.9839196774151</v>
      </c>
      <c r="F30">
        <f t="shared" si="1"/>
        <v>-4068</v>
      </c>
      <c r="G30">
        <f t="shared" si="2"/>
        <v>9.0747739308426389E-2</v>
      </c>
      <c r="I30">
        <f t="shared" si="3"/>
        <v>9.0747739308426389E-2</v>
      </c>
      <c r="O30">
        <f t="shared" ca="1" si="4"/>
        <v>0.20892641174753437</v>
      </c>
      <c r="Q30" s="2">
        <f t="shared" si="5"/>
        <v>16295.689999999999</v>
      </c>
    </row>
    <row r="31" spans="1:21" x14ac:dyDescent="0.2">
      <c r="A31" s="44" t="s">
        <v>74</v>
      </c>
      <c r="B31" s="46" t="s">
        <v>44</v>
      </c>
      <c r="C31" s="45">
        <v>31325.33</v>
      </c>
      <c r="D31" s="45" t="s">
        <v>59</v>
      </c>
      <c r="E31">
        <f t="shared" si="0"/>
        <v>-4066.0099333835287</v>
      </c>
      <c r="F31">
        <f t="shared" si="1"/>
        <v>-4066</v>
      </c>
      <c r="G31">
        <f t="shared" si="2"/>
        <v>-5.6058085534459678E-2</v>
      </c>
      <c r="I31">
        <f t="shared" si="3"/>
        <v>-5.6058085534459678E-2</v>
      </c>
      <c r="O31">
        <f t="shared" ca="1" si="4"/>
        <v>0.20882538316373475</v>
      </c>
      <c r="Q31" s="2">
        <f t="shared" si="5"/>
        <v>16306.830000000002</v>
      </c>
    </row>
    <row r="32" spans="1:21" x14ac:dyDescent="0.2">
      <c r="A32" s="44" t="s">
        <v>74</v>
      </c>
      <c r="B32" s="46" t="s">
        <v>44</v>
      </c>
      <c r="C32" s="45">
        <v>31342.31</v>
      </c>
      <c r="D32" s="45" t="s">
        <v>59</v>
      </c>
      <c r="E32">
        <f t="shared" si="0"/>
        <v>-4063.0011104687906</v>
      </c>
      <c r="F32">
        <f t="shared" si="1"/>
        <v>-4063</v>
      </c>
      <c r="G32">
        <f t="shared" si="2"/>
        <v>-6.2668228056281805E-3</v>
      </c>
      <c r="I32">
        <f t="shared" si="3"/>
        <v>-6.2668228056281805E-3</v>
      </c>
      <c r="O32">
        <f t="shared" ca="1" si="4"/>
        <v>0.20867384028803537</v>
      </c>
      <c r="Q32" s="2">
        <f t="shared" si="5"/>
        <v>16323.810000000001</v>
      </c>
    </row>
    <row r="33" spans="1:17" x14ac:dyDescent="0.2">
      <c r="A33" s="29" t="s">
        <v>39</v>
      </c>
      <c r="B33" s="28"/>
      <c r="C33" s="29">
        <v>54271.462299999999</v>
      </c>
      <c r="D33" s="29">
        <v>2.3E-3</v>
      </c>
      <c r="E33">
        <f t="shared" si="0"/>
        <v>0</v>
      </c>
      <c r="F33">
        <f t="shared" si="1"/>
        <v>0</v>
      </c>
      <c r="G33">
        <f t="shared" si="2"/>
        <v>0</v>
      </c>
      <c r="K33">
        <f>+G33</f>
        <v>0</v>
      </c>
      <c r="O33">
        <f t="shared" ca="1" si="4"/>
        <v>3.4342722991522346E-3</v>
      </c>
      <c r="Q33" s="2">
        <f t="shared" si="5"/>
        <v>39252.962299999999</v>
      </c>
    </row>
    <row r="34" spans="1:17" x14ac:dyDescent="0.2">
      <c r="A34" s="44" t="s">
        <v>114</v>
      </c>
      <c r="B34" s="46" t="s">
        <v>44</v>
      </c>
      <c r="C34" s="45">
        <v>54999.4611</v>
      </c>
      <c r="D34" s="45" t="s">
        <v>59</v>
      </c>
      <c r="E34">
        <f t="shared" si="0"/>
        <v>128.99996886583341</v>
      </c>
      <c r="F34">
        <f t="shared" si="1"/>
        <v>129</v>
      </c>
      <c r="G34">
        <f t="shared" si="2"/>
        <v>-1.7570264753885567E-4</v>
      </c>
      <c r="K34">
        <f t="shared" ref="K34:K40" si="6">+G34</f>
        <v>-1.7570264753885567E-4</v>
      </c>
      <c r="O34">
        <f t="shared" ca="1" si="4"/>
        <v>-3.0820713559218298E-3</v>
      </c>
      <c r="Q34" s="2">
        <f t="shared" si="5"/>
        <v>39980.9611</v>
      </c>
    </row>
    <row r="35" spans="1:17" x14ac:dyDescent="0.2">
      <c r="A35" s="44" t="s">
        <v>121</v>
      </c>
      <c r="B35" s="46" t="s">
        <v>44</v>
      </c>
      <c r="C35" s="45">
        <v>55315.484700000001</v>
      </c>
      <c r="D35" s="45" t="s">
        <v>59</v>
      </c>
      <c r="E35">
        <f t="shared" si="0"/>
        <v>184.99873501883883</v>
      </c>
      <c r="F35">
        <f t="shared" si="1"/>
        <v>185</v>
      </c>
      <c r="G35">
        <f t="shared" si="2"/>
        <v>-7.138798369851429E-3</v>
      </c>
      <c r="K35">
        <f t="shared" si="6"/>
        <v>-7.138798369851429E-3</v>
      </c>
      <c r="O35">
        <f t="shared" ca="1" si="4"/>
        <v>-5.9108717023105706E-3</v>
      </c>
      <c r="Q35" s="2">
        <f t="shared" si="5"/>
        <v>40296.984700000001</v>
      </c>
    </row>
    <row r="36" spans="1:17" x14ac:dyDescent="0.2">
      <c r="A36" s="47" t="s">
        <v>43</v>
      </c>
      <c r="B36" s="48" t="s">
        <v>44</v>
      </c>
      <c r="C36" s="49">
        <v>55315.484729999996</v>
      </c>
      <c r="D36" s="49">
        <v>6.9999999999999999E-4</v>
      </c>
      <c r="E36">
        <f t="shared" si="0"/>
        <v>184.9987403347796</v>
      </c>
      <c r="F36">
        <f t="shared" si="1"/>
        <v>185</v>
      </c>
      <c r="G36">
        <f t="shared" si="2"/>
        <v>-7.1087983742472716E-3</v>
      </c>
      <c r="K36">
        <f t="shared" si="6"/>
        <v>-7.1087983742472716E-3</v>
      </c>
      <c r="O36">
        <f t="shared" ca="1" si="4"/>
        <v>-5.9108717023105706E-3</v>
      </c>
      <c r="Q36" s="2">
        <f t="shared" si="5"/>
        <v>40296.984729999996</v>
      </c>
    </row>
    <row r="37" spans="1:17" x14ac:dyDescent="0.2">
      <c r="A37" s="50" t="s">
        <v>46</v>
      </c>
      <c r="B37" s="51" t="s">
        <v>47</v>
      </c>
      <c r="C37" s="50">
        <v>55645.636200000001</v>
      </c>
      <c r="D37" s="50">
        <v>2.8E-3</v>
      </c>
      <c r="E37">
        <f t="shared" si="0"/>
        <v>243.50093752385411</v>
      </c>
      <c r="F37">
        <f t="shared" si="1"/>
        <v>243.5</v>
      </c>
      <c r="G37">
        <f>+C37-(C$7+F37*C$8)</f>
        <v>5.290824847179465E-3</v>
      </c>
      <c r="H37" s="30"/>
      <c r="K37">
        <f>+G37</f>
        <v>5.290824847179465E-3</v>
      </c>
      <c r="O37">
        <f t="shared" ca="1" si="4"/>
        <v>-8.8659577784488096E-3</v>
      </c>
      <c r="Q37" s="2">
        <f t="shared" si="5"/>
        <v>40627.136200000001</v>
      </c>
    </row>
    <row r="38" spans="1:17" x14ac:dyDescent="0.2">
      <c r="A38" s="50" t="s">
        <v>45</v>
      </c>
      <c r="B38" s="51" t="s">
        <v>44</v>
      </c>
      <c r="C38" s="50">
        <v>55738.738400000002</v>
      </c>
      <c r="D38" s="50">
        <v>8.9999999999999998E-4</v>
      </c>
      <c r="E38">
        <f t="shared" si="0"/>
        <v>259.99846595568766</v>
      </c>
      <c r="F38">
        <f t="shared" si="1"/>
        <v>260</v>
      </c>
      <c r="G38">
        <f>+C38-(C$7+F38*C$8)</f>
        <v>-8.6572301370324567E-3</v>
      </c>
      <c r="K38">
        <f t="shared" si="6"/>
        <v>-8.6572301370324567E-3</v>
      </c>
      <c r="O38">
        <f t="shared" ca="1" si="4"/>
        <v>-9.6994435947954909E-3</v>
      </c>
      <c r="Q38" s="2">
        <f t="shared" si="5"/>
        <v>40720.238400000002</v>
      </c>
    </row>
    <row r="39" spans="1:17" x14ac:dyDescent="0.2">
      <c r="A39" s="52" t="s">
        <v>48</v>
      </c>
      <c r="B39" s="53" t="s">
        <v>44</v>
      </c>
      <c r="C39" s="52">
        <v>56737.602400000003</v>
      </c>
      <c r="D39" s="52">
        <v>1.6999999999999999E-3</v>
      </c>
      <c r="E39">
        <f t="shared" si="0"/>
        <v>436.99522048495584</v>
      </c>
      <c r="F39">
        <f t="shared" si="1"/>
        <v>437</v>
      </c>
      <c r="G39">
        <f>+C39-(C$7+F39*C$8)</f>
        <v>-2.6972729123372119E-2</v>
      </c>
      <c r="K39">
        <f t="shared" si="6"/>
        <v>-2.6972729123372119E-2</v>
      </c>
      <c r="O39">
        <f t="shared" ca="1" si="4"/>
        <v>-1.8640473261059907E-2</v>
      </c>
      <c r="Q39" s="2">
        <f t="shared" si="5"/>
        <v>41719.102400000003</v>
      </c>
    </row>
    <row r="40" spans="1:17" x14ac:dyDescent="0.2">
      <c r="A40" s="54" t="s">
        <v>1</v>
      </c>
      <c r="B40" s="55" t="s">
        <v>44</v>
      </c>
      <c r="C40" s="56">
        <v>57516.382599999997</v>
      </c>
      <c r="D40" s="56" t="s">
        <v>2</v>
      </c>
      <c r="E40">
        <f>+(C40-C$7)/C$8</f>
        <v>574.99355448403185</v>
      </c>
      <c r="F40">
        <f t="shared" si="1"/>
        <v>575</v>
      </c>
      <c r="G40">
        <f>+C40-(C$7+F40*C$8)</f>
        <v>-3.6374643590534106E-2</v>
      </c>
      <c r="K40">
        <f t="shared" si="6"/>
        <v>-3.6374643590534106E-2</v>
      </c>
      <c r="O40">
        <f ca="1">+C$11+C$12*$F40</f>
        <v>-2.5611445543232157E-2</v>
      </c>
      <c r="Q40" s="2">
        <f>+C40-15018.5</f>
        <v>42497.882599999997</v>
      </c>
    </row>
    <row r="41" spans="1:17" x14ac:dyDescent="0.2">
      <c r="A41" s="58" t="s">
        <v>138</v>
      </c>
      <c r="B41" s="59" t="s">
        <v>44</v>
      </c>
      <c r="C41" s="60">
        <v>59367.419800000003</v>
      </c>
      <c r="D41" s="58">
        <v>4.3E-3</v>
      </c>
      <c r="E41">
        <f>+(C41-C$7)/C$8</f>
        <v>902.99373960727632</v>
      </c>
      <c r="F41">
        <f t="shared" ref="F41" si="7">ROUND(2*E41,0)/2</f>
        <v>903</v>
      </c>
      <c r="G41">
        <f>+C41-(C$7+F41*C$8)</f>
        <v>-3.5329918529896531E-2</v>
      </c>
      <c r="K41">
        <f t="shared" ref="K41" si="8">+G41</f>
        <v>-3.5329918529896531E-2</v>
      </c>
      <c r="O41">
        <f ca="1">+C$11+C$12*$F41</f>
        <v>-4.2180133286366217E-2</v>
      </c>
      <c r="Q41" s="2">
        <f>+C41-15018.5</f>
        <v>44348.919800000003</v>
      </c>
    </row>
    <row r="42" spans="1:17" x14ac:dyDescent="0.2">
      <c r="B42" s="3"/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hyperlinks>
    <hyperlink ref="H265" r:id="rId1" display="http://vsolj.cetus-net.org/bulletin.html"/>
    <hyperlink ref="H258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6"/>
  <sheetViews>
    <sheetView topLeftCell="A6" workbookViewId="0">
      <selection activeCell="A15" sqref="A15:D2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1" t="s">
        <v>49</v>
      </c>
      <c r="I1" s="32" t="s">
        <v>50</v>
      </c>
      <c r="J1" s="33" t="s">
        <v>51</v>
      </c>
    </row>
    <row r="2" spans="1:16" x14ac:dyDescent="0.2">
      <c r="I2" s="34" t="s">
        <v>52</v>
      </c>
      <c r="J2" s="35" t="s">
        <v>53</v>
      </c>
    </row>
    <row r="3" spans="1:16" x14ac:dyDescent="0.2">
      <c r="A3" s="36" t="s">
        <v>54</v>
      </c>
      <c r="I3" s="34" t="s">
        <v>55</v>
      </c>
      <c r="J3" s="35" t="s">
        <v>56</v>
      </c>
    </row>
    <row r="4" spans="1:16" x14ac:dyDescent="0.2">
      <c r="I4" s="34" t="s">
        <v>57</v>
      </c>
      <c r="J4" s="35" t="s">
        <v>56</v>
      </c>
    </row>
    <row r="5" spans="1:16" ht="13.5" thickBot="1" x14ac:dyDescent="0.25">
      <c r="I5" s="37" t="s">
        <v>58</v>
      </c>
      <c r="J5" s="38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8" si="0">P11</f>
        <v>BAVM 186 </v>
      </c>
      <c r="B11" s="3" t="str">
        <f t="shared" ref="B11:B28" si="1">IF(H11=INT(H11),"I","II")</f>
        <v>I</v>
      </c>
      <c r="C11" s="10">
        <f t="shared" ref="C11:C28" si="2">1*G11</f>
        <v>54271.462299999999</v>
      </c>
      <c r="D11" s="12" t="str">
        <f t="shared" ref="D11:D28" si="3">VLOOKUP(F11,I$1:J$5,2,FALSE)</f>
        <v>vis</v>
      </c>
      <c r="E11" s="39">
        <f>VLOOKUP(C11,Active!C$21:E$973,3,FALSE)</f>
        <v>0</v>
      </c>
      <c r="F11" s="3" t="s">
        <v>58</v>
      </c>
      <c r="G11" s="12" t="str">
        <f t="shared" ref="G11:G28" si="4">MID(I11,3,LEN(I11)-3)</f>
        <v>54271.4623</v>
      </c>
      <c r="H11" s="10">
        <f t="shared" ref="H11:H28" si="5">1*K11</f>
        <v>4910</v>
      </c>
      <c r="I11" s="40" t="s">
        <v>101</v>
      </c>
      <c r="J11" s="41" t="s">
        <v>102</v>
      </c>
      <c r="K11" s="40">
        <v>4910</v>
      </c>
      <c r="L11" s="40" t="s">
        <v>103</v>
      </c>
      <c r="M11" s="41" t="s">
        <v>104</v>
      </c>
      <c r="N11" s="41" t="s">
        <v>105</v>
      </c>
      <c r="O11" s="42" t="s">
        <v>106</v>
      </c>
      <c r="P11" s="43" t="s">
        <v>107</v>
      </c>
    </row>
    <row r="12" spans="1:16" ht="12.75" customHeight="1" thickBot="1" x14ac:dyDescent="0.25">
      <c r="A12" s="10" t="str">
        <f t="shared" si="0"/>
        <v>BAVM 220 </v>
      </c>
      <c r="B12" s="3" t="str">
        <f t="shared" si="1"/>
        <v>II</v>
      </c>
      <c r="C12" s="10">
        <f t="shared" si="2"/>
        <v>55645.636200000001</v>
      </c>
      <c r="D12" s="12" t="str">
        <f t="shared" si="3"/>
        <v>vis</v>
      </c>
      <c r="E12" s="39">
        <f>VLOOKUP(C12,Active!C$21:E$973,3,FALSE)</f>
        <v>243.50093752385411</v>
      </c>
      <c r="F12" s="3" t="s">
        <v>58</v>
      </c>
      <c r="G12" s="12" t="str">
        <f t="shared" si="4"/>
        <v>55645.6362</v>
      </c>
      <c r="H12" s="10">
        <f t="shared" si="5"/>
        <v>5153.5</v>
      </c>
      <c r="I12" s="40" t="s">
        <v>122</v>
      </c>
      <c r="J12" s="41" t="s">
        <v>123</v>
      </c>
      <c r="K12" s="40" t="s">
        <v>124</v>
      </c>
      <c r="L12" s="40" t="s">
        <v>125</v>
      </c>
      <c r="M12" s="41" t="s">
        <v>104</v>
      </c>
      <c r="N12" s="41" t="s">
        <v>112</v>
      </c>
      <c r="O12" s="42" t="s">
        <v>113</v>
      </c>
      <c r="P12" s="43" t="s">
        <v>126</v>
      </c>
    </row>
    <row r="13" spans="1:16" ht="12.75" customHeight="1" thickBot="1" x14ac:dyDescent="0.25">
      <c r="A13" s="10" t="str">
        <f t="shared" si="0"/>
        <v>IBVS 5992 </v>
      </c>
      <c r="B13" s="3" t="str">
        <f t="shared" si="1"/>
        <v>I</v>
      </c>
      <c r="C13" s="10">
        <f t="shared" si="2"/>
        <v>55738.738400000002</v>
      </c>
      <c r="D13" s="12" t="str">
        <f t="shared" si="3"/>
        <v>vis</v>
      </c>
      <c r="E13" s="39">
        <f>VLOOKUP(C13,Active!C$21:E$973,3,FALSE)</f>
        <v>259.99846595568766</v>
      </c>
      <c r="F13" s="3" t="s">
        <v>58</v>
      </c>
      <c r="G13" s="12" t="str">
        <f t="shared" si="4"/>
        <v>55738.7384</v>
      </c>
      <c r="H13" s="10">
        <f t="shared" si="5"/>
        <v>5170</v>
      </c>
      <c r="I13" s="40" t="s">
        <v>127</v>
      </c>
      <c r="J13" s="41" t="s">
        <v>128</v>
      </c>
      <c r="K13" s="40" t="s">
        <v>129</v>
      </c>
      <c r="L13" s="40" t="s">
        <v>130</v>
      </c>
      <c r="M13" s="41" t="s">
        <v>104</v>
      </c>
      <c r="N13" s="41" t="s">
        <v>58</v>
      </c>
      <c r="O13" s="42" t="s">
        <v>131</v>
      </c>
      <c r="P13" s="43" t="s">
        <v>132</v>
      </c>
    </row>
    <row r="14" spans="1:16" ht="12.75" customHeight="1" thickBot="1" x14ac:dyDescent="0.25">
      <c r="A14" s="10" t="str">
        <f t="shared" si="0"/>
        <v>BAVM 238 </v>
      </c>
      <c r="B14" s="3" t="str">
        <f t="shared" si="1"/>
        <v>I</v>
      </c>
      <c r="C14" s="10">
        <f t="shared" si="2"/>
        <v>56737.602400000003</v>
      </c>
      <c r="D14" s="12" t="str">
        <f t="shared" si="3"/>
        <v>vis</v>
      </c>
      <c r="E14" s="39">
        <f>VLOOKUP(C14,Active!C$21:E$973,3,FALSE)</f>
        <v>436.99522048495584</v>
      </c>
      <c r="F14" s="3" t="s">
        <v>58</v>
      </c>
      <c r="G14" s="12" t="str">
        <f t="shared" si="4"/>
        <v>56737.6024</v>
      </c>
      <c r="H14" s="10">
        <f t="shared" si="5"/>
        <v>5347</v>
      </c>
      <c r="I14" s="40" t="s">
        <v>133</v>
      </c>
      <c r="J14" s="41" t="s">
        <v>134</v>
      </c>
      <c r="K14" s="40" t="s">
        <v>135</v>
      </c>
      <c r="L14" s="40" t="s">
        <v>136</v>
      </c>
      <c r="M14" s="41" t="s">
        <v>104</v>
      </c>
      <c r="N14" s="41" t="s">
        <v>112</v>
      </c>
      <c r="O14" s="42" t="s">
        <v>113</v>
      </c>
      <c r="P14" s="43" t="s">
        <v>137</v>
      </c>
    </row>
    <row r="15" spans="1:16" ht="12.75" customHeight="1" thickBot="1" x14ac:dyDescent="0.25">
      <c r="A15" s="10" t="str">
        <f t="shared" si="0"/>
        <v> PZ 5.200 </v>
      </c>
      <c r="B15" s="3" t="str">
        <f t="shared" si="1"/>
        <v>I</v>
      </c>
      <c r="C15" s="10">
        <f t="shared" si="2"/>
        <v>18560.3</v>
      </c>
      <c r="D15" s="12" t="str">
        <f t="shared" si="3"/>
        <v>vis</v>
      </c>
      <c r="E15" s="39">
        <f>VLOOKUP(C15,Active!C$21:E$973,3,FALSE)</f>
        <v>-6327.9483769241315</v>
      </c>
      <c r="F15" s="3" t="s">
        <v>58</v>
      </c>
      <c r="G15" s="12" t="str">
        <f t="shared" si="4"/>
        <v>18560.30</v>
      </c>
      <c r="H15" s="10">
        <f t="shared" si="5"/>
        <v>-1418</v>
      </c>
      <c r="I15" s="40" t="s">
        <v>60</v>
      </c>
      <c r="J15" s="41" t="s">
        <v>61</v>
      </c>
      <c r="K15" s="40">
        <v>-1418</v>
      </c>
      <c r="L15" s="40" t="s">
        <v>62</v>
      </c>
      <c r="M15" s="41" t="s">
        <v>63</v>
      </c>
      <c r="N15" s="41"/>
      <c r="O15" s="42" t="s">
        <v>64</v>
      </c>
      <c r="P15" s="42" t="s">
        <v>65</v>
      </c>
    </row>
    <row r="16" spans="1:16" ht="12.75" customHeight="1" thickBot="1" x14ac:dyDescent="0.25">
      <c r="A16" s="10" t="str">
        <f t="shared" si="0"/>
        <v> PZ 5.200 </v>
      </c>
      <c r="B16" s="3" t="str">
        <f t="shared" si="1"/>
        <v>I</v>
      </c>
      <c r="C16" s="10">
        <f t="shared" si="2"/>
        <v>18921.29</v>
      </c>
      <c r="D16" s="12" t="str">
        <f t="shared" si="3"/>
        <v>vis</v>
      </c>
      <c r="E16" s="39">
        <f>VLOOKUP(C16,Active!C$21:E$973,3,FALSE)</f>
        <v>-6263.9816523074469</v>
      </c>
      <c r="F16" s="3" t="s">
        <v>58</v>
      </c>
      <c r="G16" s="12" t="str">
        <f t="shared" si="4"/>
        <v>18921.29</v>
      </c>
      <c r="H16" s="10">
        <f t="shared" si="5"/>
        <v>-1354</v>
      </c>
      <c r="I16" s="40" t="s">
        <v>66</v>
      </c>
      <c r="J16" s="41" t="s">
        <v>67</v>
      </c>
      <c r="K16" s="40">
        <v>-1354</v>
      </c>
      <c r="L16" s="40" t="s">
        <v>68</v>
      </c>
      <c r="M16" s="41" t="s">
        <v>63</v>
      </c>
      <c r="N16" s="41"/>
      <c r="O16" s="42" t="s">
        <v>64</v>
      </c>
      <c r="P16" s="42" t="s">
        <v>65</v>
      </c>
    </row>
    <row r="17" spans="1:16" ht="12.75" customHeight="1" thickBot="1" x14ac:dyDescent="0.25">
      <c r="A17" s="10" t="str">
        <f t="shared" si="0"/>
        <v> IODE 4.2.89 </v>
      </c>
      <c r="B17" s="3" t="str">
        <f t="shared" si="1"/>
        <v>I</v>
      </c>
      <c r="C17" s="10">
        <f t="shared" si="2"/>
        <v>26562.35</v>
      </c>
      <c r="D17" s="12" t="str">
        <f t="shared" si="3"/>
        <v>vis</v>
      </c>
      <c r="E17" s="39">
        <f>VLOOKUP(C17,Active!C$21:E$973,3,FALSE)</f>
        <v>-4910.0007087922058</v>
      </c>
      <c r="F17" s="3" t="s">
        <v>58</v>
      </c>
      <c r="G17" s="12" t="str">
        <f t="shared" si="4"/>
        <v>26562.35</v>
      </c>
      <c r="H17" s="10">
        <f t="shared" si="5"/>
        <v>0</v>
      </c>
      <c r="I17" s="40" t="s">
        <v>69</v>
      </c>
      <c r="J17" s="41" t="s">
        <v>70</v>
      </c>
      <c r="K17" s="40">
        <v>0</v>
      </c>
      <c r="L17" s="40" t="s">
        <v>71</v>
      </c>
      <c r="M17" s="41" t="s">
        <v>72</v>
      </c>
      <c r="N17" s="41"/>
      <c r="O17" s="42" t="s">
        <v>73</v>
      </c>
      <c r="P17" s="42" t="s">
        <v>74</v>
      </c>
    </row>
    <row r="18" spans="1:16" ht="12.75" customHeight="1" thickBot="1" x14ac:dyDescent="0.25">
      <c r="A18" s="10" t="str">
        <f t="shared" si="0"/>
        <v> IODE 4.2.89 </v>
      </c>
      <c r="B18" s="3" t="str">
        <f t="shared" si="1"/>
        <v>I</v>
      </c>
      <c r="C18" s="10">
        <f t="shared" si="2"/>
        <v>26579.18</v>
      </c>
      <c r="D18" s="12" t="str">
        <f t="shared" si="3"/>
        <v>vis</v>
      </c>
      <c r="E18" s="39">
        <f>VLOOKUP(C18,Active!C$21:E$973,3,FALSE)</f>
        <v>-4907.0184655851945</v>
      </c>
      <c r="F18" s="3" t="s">
        <v>58</v>
      </c>
      <c r="G18" s="12" t="str">
        <f t="shared" si="4"/>
        <v>26579.18</v>
      </c>
      <c r="H18" s="10">
        <f t="shared" si="5"/>
        <v>3</v>
      </c>
      <c r="I18" s="40" t="s">
        <v>75</v>
      </c>
      <c r="J18" s="41" t="s">
        <v>76</v>
      </c>
      <c r="K18" s="40">
        <v>3</v>
      </c>
      <c r="L18" s="40" t="s">
        <v>77</v>
      </c>
      <c r="M18" s="41" t="s">
        <v>72</v>
      </c>
      <c r="N18" s="41"/>
      <c r="O18" s="42" t="s">
        <v>73</v>
      </c>
      <c r="P18" s="42" t="s">
        <v>74</v>
      </c>
    </row>
    <row r="19" spans="1:16" ht="12.75" customHeight="1" thickBot="1" x14ac:dyDescent="0.25">
      <c r="A19" s="10" t="str">
        <f t="shared" si="0"/>
        <v> IODE 4.2.89 </v>
      </c>
      <c r="B19" s="3" t="str">
        <f t="shared" si="1"/>
        <v>I</v>
      </c>
      <c r="C19" s="10">
        <f t="shared" si="2"/>
        <v>26596.2</v>
      </c>
      <c r="D19" s="12" t="str">
        <f t="shared" si="3"/>
        <v>vis</v>
      </c>
      <c r="E19" s="39">
        <f>VLOOKUP(C19,Active!C$21:E$973,3,FALSE)</f>
        <v>-4904.0025547483956</v>
      </c>
      <c r="F19" s="3" t="s">
        <v>58</v>
      </c>
      <c r="G19" s="12" t="str">
        <f t="shared" si="4"/>
        <v>26596.20</v>
      </c>
      <c r="H19" s="10">
        <f t="shared" si="5"/>
        <v>6</v>
      </c>
      <c r="I19" s="40" t="s">
        <v>78</v>
      </c>
      <c r="J19" s="41" t="s">
        <v>79</v>
      </c>
      <c r="K19" s="40">
        <v>6</v>
      </c>
      <c r="L19" s="40" t="s">
        <v>80</v>
      </c>
      <c r="M19" s="41" t="s">
        <v>72</v>
      </c>
      <c r="N19" s="41"/>
      <c r="O19" s="42" t="s">
        <v>73</v>
      </c>
      <c r="P19" s="42" t="s">
        <v>74</v>
      </c>
    </row>
    <row r="20" spans="1:16" ht="12.75" customHeight="1" thickBot="1" x14ac:dyDescent="0.25">
      <c r="A20" s="10" t="str">
        <f t="shared" si="0"/>
        <v> IODE 4.2.89 </v>
      </c>
      <c r="B20" s="3" t="str">
        <f t="shared" si="1"/>
        <v>I</v>
      </c>
      <c r="C20" s="10">
        <f t="shared" si="2"/>
        <v>26607.35</v>
      </c>
      <c r="D20" s="12" t="str">
        <f t="shared" si="3"/>
        <v>vis</v>
      </c>
      <c r="E20" s="39">
        <f>VLOOKUP(C20,Active!C$21:E$973,3,FALSE)</f>
        <v>-4902.0267964739951</v>
      </c>
      <c r="F20" s="3" t="s">
        <v>58</v>
      </c>
      <c r="G20" s="12" t="str">
        <f t="shared" si="4"/>
        <v>26607.35</v>
      </c>
      <c r="H20" s="10">
        <f t="shared" si="5"/>
        <v>8</v>
      </c>
      <c r="I20" s="40" t="s">
        <v>81</v>
      </c>
      <c r="J20" s="41" t="s">
        <v>82</v>
      </c>
      <c r="K20" s="40">
        <v>8</v>
      </c>
      <c r="L20" s="40" t="s">
        <v>83</v>
      </c>
      <c r="M20" s="41" t="s">
        <v>72</v>
      </c>
      <c r="N20" s="41"/>
      <c r="O20" s="42" t="s">
        <v>73</v>
      </c>
      <c r="P20" s="42" t="s">
        <v>74</v>
      </c>
    </row>
    <row r="21" spans="1:16" ht="12.75" customHeight="1" thickBot="1" x14ac:dyDescent="0.25">
      <c r="A21" s="10" t="str">
        <f t="shared" si="0"/>
        <v> IODE 4.2.89 </v>
      </c>
      <c r="B21" s="3" t="str">
        <f t="shared" si="1"/>
        <v>I</v>
      </c>
      <c r="C21" s="10">
        <f t="shared" si="2"/>
        <v>29107.35</v>
      </c>
      <c r="D21" s="12" t="str">
        <f t="shared" si="3"/>
        <v>vis</v>
      </c>
      <c r="E21" s="39">
        <f>VLOOKUP(C21,Active!C$21:E$973,3,FALSE)</f>
        <v>-4459.0316676845205</v>
      </c>
      <c r="F21" s="3" t="s">
        <v>58</v>
      </c>
      <c r="G21" s="12" t="str">
        <f t="shared" si="4"/>
        <v>29107.35</v>
      </c>
      <c r="H21" s="10">
        <f t="shared" si="5"/>
        <v>451</v>
      </c>
      <c r="I21" s="40" t="s">
        <v>84</v>
      </c>
      <c r="J21" s="41" t="s">
        <v>85</v>
      </c>
      <c r="K21" s="40">
        <v>451</v>
      </c>
      <c r="L21" s="40" t="s">
        <v>83</v>
      </c>
      <c r="M21" s="41" t="s">
        <v>63</v>
      </c>
      <c r="N21" s="41"/>
      <c r="O21" s="42" t="s">
        <v>64</v>
      </c>
      <c r="P21" s="42" t="s">
        <v>74</v>
      </c>
    </row>
    <row r="22" spans="1:16" ht="12.75" customHeight="1" thickBot="1" x14ac:dyDescent="0.25">
      <c r="A22" s="10" t="str">
        <f t="shared" si="0"/>
        <v> IODE 4.2.89 </v>
      </c>
      <c r="B22" s="3" t="str">
        <f t="shared" si="1"/>
        <v>I</v>
      </c>
      <c r="C22" s="10">
        <f t="shared" si="2"/>
        <v>31274.45</v>
      </c>
      <c r="D22" s="12" t="str">
        <f t="shared" si="3"/>
        <v>vis</v>
      </c>
      <c r="E22" s="39">
        <f>VLOOKUP(C22,Active!C$21:E$973,3,FALSE)</f>
        <v>-4075.0257702446524</v>
      </c>
      <c r="F22" s="3" t="s">
        <v>58</v>
      </c>
      <c r="G22" s="12" t="str">
        <f t="shared" si="4"/>
        <v>31274.45</v>
      </c>
      <c r="H22" s="10">
        <f t="shared" si="5"/>
        <v>835</v>
      </c>
      <c r="I22" s="40" t="s">
        <v>86</v>
      </c>
      <c r="J22" s="41" t="s">
        <v>87</v>
      </c>
      <c r="K22" s="40">
        <v>835</v>
      </c>
      <c r="L22" s="40" t="s">
        <v>88</v>
      </c>
      <c r="M22" s="41" t="s">
        <v>72</v>
      </c>
      <c r="N22" s="41"/>
      <c r="O22" s="42" t="s">
        <v>73</v>
      </c>
      <c r="P22" s="42" t="s">
        <v>74</v>
      </c>
    </row>
    <row r="23" spans="1:16" ht="12.75" customHeight="1" thickBot="1" x14ac:dyDescent="0.25">
      <c r="A23" s="10" t="str">
        <f t="shared" si="0"/>
        <v> IODE 4.2.89 </v>
      </c>
      <c r="B23" s="3" t="str">
        <f t="shared" si="1"/>
        <v>I</v>
      </c>
      <c r="C23" s="10">
        <f t="shared" si="2"/>
        <v>31291.4</v>
      </c>
      <c r="D23" s="12" t="str">
        <f t="shared" si="3"/>
        <v>vis</v>
      </c>
      <c r="E23" s="39">
        <f>VLOOKUP(C23,Active!C$21:E$973,3,FALSE)</f>
        <v>-4072.0222632714595</v>
      </c>
      <c r="F23" s="3" t="s">
        <v>58</v>
      </c>
      <c r="G23" s="12" t="str">
        <f t="shared" si="4"/>
        <v>31291.40</v>
      </c>
      <c r="H23" s="10">
        <f t="shared" si="5"/>
        <v>838</v>
      </c>
      <c r="I23" s="40" t="s">
        <v>89</v>
      </c>
      <c r="J23" s="41" t="s">
        <v>90</v>
      </c>
      <c r="K23" s="40">
        <v>838</v>
      </c>
      <c r="L23" s="40" t="s">
        <v>91</v>
      </c>
      <c r="M23" s="41" t="s">
        <v>72</v>
      </c>
      <c r="N23" s="41"/>
      <c r="O23" s="42" t="s">
        <v>73</v>
      </c>
      <c r="P23" s="42" t="s">
        <v>74</v>
      </c>
    </row>
    <row r="24" spans="1:16" ht="12.75" customHeight="1" thickBot="1" x14ac:dyDescent="0.25">
      <c r="A24" s="10" t="str">
        <f t="shared" si="0"/>
        <v> IODE 4.2.89 </v>
      </c>
      <c r="B24" s="3" t="str">
        <f t="shared" si="1"/>
        <v>I</v>
      </c>
      <c r="C24" s="10">
        <f t="shared" si="2"/>
        <v>31314.19</v>
      </c>
      <c r="D24" s="12" t="str">
        <f t="shared" si="3"/>
        <v>vis</v>
      </c>
      <c r="E24" s="39">
        <f>VLOOKUP(C24,Active!C$21:E$973,3,FALSE)</f>
        <v>-4067.9839196774151</v>
      </c>
      <c r="F24" s="3" t="s">
        <v>58</v>
      </c>
      <c r="G24" s="12" t="str">
        <f t="shared" si="4"/>
        <v>31314.19</v>
      </c>
      <c r="H24" s="10">
        <f t="shared" si="5"/>
        <v>842</v>
      </c>
      <c r="I24" s="40" t="s">
        <v>92</v>
      </c>
      <c r="J24" s="41" t="s">
        <v>93</v>
      </c>
      <c r="K24" s="40">
        <v>842</v>
      </c>
      <c r="L24" s="40" t="s">
        <v>94</v>
      </c>
      <c r="M24" s="41" t="s">
        <v>72</v>
      </c>
      <c r="N24" s="41"/>
      <c r="O24" s="42" t="s">
        <v>73</v>
      </c>
      <c r="P24" s="42" t="s">
        <v>74</v>
      </c>
    </row>
    <row r="25" spans="1:16" ht="12.75" customHeight="1" thickBot="1" x14ac:dyDescent="0.25">
      <c r="A25" s="10" t="str">
        <f t="shared" si="0"/>
        <v> IODE 4.2.89 </v>
      </c>
      <c r="B25" s="3" t="str">
        <f t="shared" si="1"/>
        <v>I</v>
      </c>
      <c r="C25" s="10">
        <f t="shared" si="2"/>
        <v>31325.33</v>
      </c>
      <c r="D25" s="12" t="str">
        <f t="shared" si="3"/>
        <v>vis</v>
      </c>
      <c r="E25" s="39">
        <f>VLOOKUP(C25,Active!C$21:E$973,3,FALSE)</f>
        <v>-4066.0099333835287</v>
      </c>
      <c r="F25" s="3" t="s">
        <v>58</v>
      </c>
      <c r="G25" s="12" t="str">
        <f t="shared" si="4"/>
        <v>31325.33</v>
      </c>
      <c r="H25" s="10">
        <f t="shared" si="5"/>
        <v>844</v>
      </c>
      <c r="I25" s="40" t="s">
        <v>95</v>
      </c>
      <c r="J25" s="41" t="s">
        <v>96</v>
      </c>
      <c r="K25" s="40">
        <v>844</v>
      </c>
      <c r="L25" s="40" t="s">
        <v>97</v>
      </c>
      <c r="M25" s="41" t="s">
        <v>72</v>
      </c>
      <c r="N25" s="41"/>
      <c r="O25" s="42" t="s">
        <v>73</v>
      </c>
      <c r="P25" s="42" t="s">
        <v>74</v>
      </c>
    </row>
    <row r="26" spans="1:16" ht="12.75" customHeight="1" thickBot="1" x14ac:dyDescent="0.25">
      <c r="A26" s="10" t="str">
        <f t="shared" si="0"/>
        <v> IODE 4.2.89 </v>
      </c>
      <c r="B26" s="3" t="str">
        <f t="shared" si="1"/>
        <v>I</v>
      </c>
      <c r="C26" s="10">
        <f t="shared" si="2"/>
        <v>31342.31</v>
      </c>
      <c r="D26" s="12" t="str">
        <f t="shared" si="3"/>
        <v>vis</v>
      </c>
      <c r="E26" s="39">
        <f>VLOOKUP(C26,Active!C$21:E$973,3,FALSE)</f>
        <v>-4063.0011104687906</v>
      </c>
      <c r="F26" s="3" t="s">
        <v>58</v>
      </c>
      <c r="G26" s="12" t="str">
        <f t="shared" si="4"/>
        <v>31342.31</v>
      </c>
      <c r="H26" s="10">
        <f t="shared" si="5"/>
        <v>847</v>
      </c>
      <c r="I26" s="40" t="s">
        <v>98</v>
      </c>
      <c r="J26" s="41" t="s">
        <v>99</v>
      </c>
      <c r="K26" s="40">
        <v>847</v>
      </c>
      <c r="L26" s="40" t="s">
        <v>100</v>
      </c>
      <c r="M26" s="41" t="s">
        <v>72</v>
      </c>
      <c r="N26" s="41"/>
      <c r="O26" s="42" t="s">
        <v>73</v>
      </c>
      <c r="P26" s="42" t="s">
        <v>74</v>
      </c>
    </row>
    <row r="27" spans="1:16" ht="12.75" customHeight="1" thickBot="1" x14ac:dyDescent="0.25">
      <c r="A27" s="10" t="str">
        <f t="shared" si="0"/>
        <v>BAVM 212 </v>
      </c>
      <c r="B27" s="3" t="str">
        <f t="shared" si="1"/>
        <v>I</v>
      </c>
      <c r="C27" s="10">
        <f t="shared" si="2"/>
        <v>54999.4611</v>
      </c>
      <c r="D27" s="12" t="str">
        <f t="shared" si="3"/>
        <v>vis</v>
      </c>
      <c r="E27" s="39">
        <f>VLOOKUP(C27,Active!C$21:E$973,3,FALSE)</f>
        <v>128.99996886583341</v>
      </c>
      <c r="F27" s="3" t="s">
        <v>58</v>
      </c>
      <c r="G27" s="12" t="str">
        <f t="shared" si="4"/>
        <v>54999.4611</v>
      </c>
      <c r="H27" s="10">
        <f t="shared" si="5"/>
        <v>5039</v>
      </c>
      <c r="I27" s="40" t="s">
        <v>108</v>
      </c>
      <c r="J27" s="41" t="s">
        <v>109</v>
      </c>
      <c r="K27" s="40" t="s">
        <v>110</v>
      </c>
      <c r="L27" s="40" t="s">
        <v>111</v>
      </c>
      <c r="M27" s="41" t="s">
        <v>104</v>
      </c>
      <c r="N27" s="41" t="s">
        <v>112</v>
      </c>
      <c r="O27" s="42" t="s">
        <v>113</v>
      </c>
      <c r="P27" s="43" t="s">
        <v>114</v>
      </c>
    </row>
    <row r="28" spans="1:16" ht="12.75" customHeight="1" thickBot="1" x14ac:dyDescent="0.25">
      <c r="A28" s="10" t="str">
        <f t="shared" si="0"/>
        <v>OEJV 0137 </v>
      </c>
      <c r="B28" s="3" t="str">
        <f t="shared" si="1"/>
        <v>I</v>
      </c>
      <c r="C28" s="10">
        <f t="shared" si="2"/>
        <v>55315.484700000001</v>
      </c>
      <c r="D28" s="12" t="str">
        <f t="shared" si="3"/>
        <v>vis</v>
      </c>
      <c r="E28" s="39">
        <f>VLOOKUP(C28,Active!C$21:E$973,3,FALSE)</f>
        <v>184.99873501883883</v>
      </c>
      <c r="F28" s="3" t="s">
        <v>58</v>
      </c>
      <c r="G28" s="12" t="str">
        <f t="shared" si="4"/>
        <v>55315.4847</v>
      </c>
      <c r="H28" s="10">
        <f t="shared" si="5"/>
        <v>5095</v>
      </c>
      <c r="I28" s="40" t="s">
        <v>115</v>
      </c>
      <c r="J28" s="41" t="s">
        <v>116</v>
      </c>
      <c r="K28" s="40" t="s">
        <v>117</v>
      </c>
      <c r="L28" s="40" t="s">
        <v>118</v>
      </c>
      <c r="M28" s="41" t="s">
        <v>104</v>
      </c>
      <c r="N28" s="41" t="s">
        <v>119</v>
      </c>
      <c r="O28" s="42" t="s">
        <v>120</v>
      </c>
      <c r="P28" s="43" t="s">
        <v>121</v>
      </c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</sheetData>
  <phoneticPr fontId="8" type="noConversion"/>
  <hyperlinks>
    <hyperlink ref="P11" r:id="rId1" display="http://www.bav-astro.de/sfs/BAVM_link.php?BAVMnr=186"/>
    <hyperlink ref="P27" r:id="rId2" display="http://www.bav-astro.de/sfs/BAVM_link.php?BAVMnr=212"/>
    <hyperlink ref="P28" r:id="rId3" display="http://var.astro.cz/oejv/issues/oejv0137.pdf"/>
    <hyperlink ref="P12" r:id="rId4" display="http://www.bav-astro.de/sfs/BAVM_link.php?BAVMnr=220"/>
    <hyperlink ref="P13" r:id="rId5" display="http://www.konkoly.hu/cgi-bin/IBVS?5992"/>
    <hyperlink ref="P14" r:id="rId6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2023-01-14T06:04:42Z</dcterms:modified>
</cp:coreProperties>
</file>