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66635BA-E226-4E05-8A94-84BFB44227AB}" xr6:coauthVersionLast="47" xr6:coauthVersionMax="47" xr10:uidLastSave="{00000000-0000-0000-0000-000000000000}"/>
  <bookViews>
    <workbookView xWindow="13635" yWindow="75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8" i="1" l="1"/>
  <c r="F88" i="1" s="1"/>
  <c r="G88" i="1" s="1"/>
  <c r="K88" i="1" s="1"/>
  <c r="Q88" i="1"/>
  <c r="Q89" i="1"/>
  <c r="Q91" i="1"/>
  <c r="E92" i="1"/>
  <c r="F92" i="1" s="1"/>
  <c r="G92" i="1" s="1"/>
  <c r="K92" i="1" s="1"/>
  <c r="Q92" i="1"/>
  <c r="E90" i="1"/>
  <c r="F90" i="1" s="1"/>
  <c r="G90" i="1" s="1"/>
  <c r="K90" i="1" s="1"/>
  <c r="Q90" i="1"/>
  <c r="C7" i="1"/>
  <c r="E89" i="1" s="1"/>
  <c r="F89" i="1" s="1"/>
  <c r="G89" i="1" s="1"/>
  <c r="K89" i="1" s="1"/>
  <c r="C8" i="1"/>
  <c r="E76" i="1"/>
  <c r="F76" i="1" s="1"/>
  <c r="G76" i="1" s="1"/>
  <c r="K76" i="1" s="1"/>
  <c r="E77" i="1"/>
  <c r="F77" i="1" s="1"/>
  <c r="G77" i="1" s="1"/>
  <c r="K77" i="1" s="1"/>
  <c r="E64" i="1"/>
  <c r="F64" i="1" s="1"/>
  <c r="G64" i="1" s="1"/>
  <c r="K64" i="1" s="1"/>
  <c r="E65" i="1"/>
  <c r="F65" i="1" s="1"/>
  <c r="G65" i="1" s="1"/>
  <c r="K65" i="1" s="1"/>
  <c r="E67" i="1"/>
  <c r="F67" i="1" s="1"/>
  <c r="G67" i="1" s="1"/>
  <c r="K67" i="1" s="1"/>
  <c r="E70" i="1"/>
  <c r="F70" i="1"/>
  <c r="G70" i="1" s="1"/>
  <c r="E71" i="1"/>
  <c r="F71" i="1" s="1"/>
  <c r="G71" i="1" s="1"/>
  <c r="K71" i="1" s="1"/>
  <c r="E73" i="1"/>
  <c r="F73" i="1" s="1"/>
  <c r="G73" i="1" s="1"/>
  <c r="K74" i="1" s="1"/>
  <c r="E79" i="1"/>
  <c r="F79" i="1" s="1"/>
  <c r="G79" i="1" s="1"/>
  <c r="J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J82" i="1" s="1"/>
  <c r="E86" i="1"/>
  <c r="F86" i="1"/>
  <c r="G86" i="1" s="1"/>
  <c r="K86" i="1" s="1"/>
  <c r="E87" i="1"/>
  <c r="F87" i="1" s="1"/>
  <c r="G87" i="1" s="1"/>
  <c r="K87" i="1" s="1"/>
  <c r="E78" i="1"/>
  <c r="F78" i="1" s="1"/>
  <c r="U78" i="1" s="1"/>
  <c r="D9" i="1"/>
  <c r="C9" i="1"/>
  <c r="E36" i="1"/>
  <c r="F36" i="1" s="1"/>
  <c r="G36" i="1" s="1"/>
  <c r="J36" i="1" s="1"/>
  <c r="E37" i="1"/>
  <c r="F37" i="1" s="1"/>
  <c r="G37" i="1" s="1"/>
  <c r="J37" i="1" s="1"/>
  <c r="E41" i="1"/>
  <c r="F41" i="1" s="1"/>
  <c r="G41" i="1" s="1"/>
  <c r="J41" i="1" s="1"/>
  <c r="E42" i="1"/>
  <c r="F42" i="1" s="1"/>
  <c r="G42" i="1" s="1"/>
  <c r="J42" i="1" s="1"/>
  <c r="E44" i="1"/>
  <c r="F44" i="1" s="1"/>
  <c r="G44" i="1" s="1"/>
  <c r="I44" i="1" s="1"/>
  <c r="E46" i="1"/>
  <c r="F46" i="1" s="1"/>
  <c r="G46" i="1" s="1"/>
  <c r="K46" i="1" s="1"/>
  <c r="E47" i="1"/>
  <c r="F47" i="1" s="1"/>
  <c r="G47" i="1" s="1"/>
  <c r="J47" i="1" s="1"/>
  <c r="E48" i="1"/>
  <c r="F48" i="1" s="1"/>
  <c r="G48" i="1" s="1"/>
  <c r="J48" i="1" s="1"/>
  <c r="E52" i="1"/>
  <c r="F52" i="1" s="1"/>
  <c r="G52" i="1" s="1"/>
  <c r="K52" i="1" s="1"/>
  <c r="E53" i="1"/>
  <c r="F53" i="1" s="1"/>
  <c r="E54" i="1"/>
  <c r="F54" i="1" s="1"/>
  <c r="G54" i="1" s="1"/>
  <c r="K54" i="1" s="1"/>
  <c r="E56" i="1"/>
  <c r="F56" i="1" s="1"/>
  <c r="G56" i="1" s="1"/>
  <c r="J56" i="1" s="1"/>
  <c r="E57" i="1"/>
  <c r="F57" i="1" s="1"/>
  <c r="E59" i="1"/>
  <c r="F59" i="1" s="1"/>
  <c r="G59" i="1" s="1"/>
  <c r="J59" i="1" s="1"/>
  <c r="E61" i="1"/>
  <c r="F61" i="1" s="1"/>
  <c r="G61" i="1" s="1"/>
  <c r="K61" i="1" s="1"/>
  <c r="E62" i="1"/>
  <c r="F62" i="1" s="1"/>
  <c r="G62" i="1" s="1"/>
  <c r="K62" i="1" s="1"/>
  <c r="Q75" i="1"/>
  <c r="Q76" i="1"/>
  <c r="Q77" i="1"/>
  <c r="Q84" i="1"/>
  <c r="Q87" i="1"/>
  <c r="Q86" i="1"/>
  <c r="Q85" i="1"/>
  <c r="Q83" i="1"/>
  <c r="Q81" i="1"/>
  <c r="Q82" i="1"/>
  <c r="Q78" i="1"/>
  <c r="Q74" i="1"/>
  <c r="Q73" i="1"/>
  <c r="Q65" i="1"/>
  <c r="Q62" i="1"/>
  <c r="Q58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63" i="2"/>
  <c r="C63" i="2"/>
  <c r="E63" i="2"/>
  <c r="G32" i="2"/>
  <c r="C32" i="2"/>
  <c r="G31" i="2"/>
  <c r="C31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30" i="2"/>
  <c r="C30" i="2"/>
  <c r="E30" i="2"/>
  <c r="G29" i="2"/>
  <c r="C29" i="2"/>
  <c r="E29" i="2"/>
  <c r="G57" i="2"/>
  <c r="C57" i="2"/>
  <c r="E57" i="2"/>
  <c r="G28" i="2"/>
  <c r="C28" i="2"/>
  <c r="G56" i="2"/>
  <c r="C56" i="2"/>
  <c r="E56" i="2"/>
  <c r="G27" i="2"/>
  <c r="C27" i="2"/>
  <c r="G26" i="2"/>
  <c r="C26" i="2"/>
  <c r="G25" i="2"/>
  <c r="C25" i="2"/>
  <c r="G55" i="2"/>
  <c r="C55" i="2"/>
  <c r="G24" i="2"/>
  <c r="C24" i="2"/>
  <c r="E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63" i="2"/>
  <c r="B63" i="2"/>
  <c r="D63" i="2"/>
  <c r="A63" i="2"/>
  <c r="H32" i="2"/>
  <c r="B32" i="2"/>
  <c r="D32" i="2"/>
  <c r="A32" i="2"/>
  <c r="H31" i="2"/>
  <c r="B31" i="2"/>
  <c r="D31" i="2"/>
  <c r="A3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28" i="2"/>
  <c r="B28" i="2"/>
  <c r="D28" i="2"/>
  <c r="A28" i="2"/>
  <c r="H56" i="2"/>
  <c r="B56" i="2"/>
  <c r="D56" i="2"/>
  <c r="A56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79" i="1"/>
  <c r="Q80" i="1"/>
  <c r="Q69" i="1"/>
  <c r="Q70" i="1"/>
  <c r="Q68" i="1"/>
  <c r="Q72" i="1"/>
  <c r="Q61" i="1"/>
  <c r="Q64" i="1"/>
  <c r="Q67" i="1"/>
  <c r="Q71" i="1"/>
  <c r="Q50" i="1"/>
  <c r="Q52" i="1"/>
  <c r="Q54" i="1"/>
  <c r="Q57" i="1"/>
  <c r="Q59" i="1"/>
  <c r="Q56" i="1"/>
  <c r="Q63" i="1"/>
  <c r="Q66" i="1"/>
  <c r="F16" i="1"/>
  <c r="F17" i="1" s="1"/>
  <c r="Q60" i="1"/>
  <c r="Q51" i="1"/>
  <c r="Q53" i="1"/>
  <c r="Q55" i="1"/>
  <c r="Q44" i="1"/>
  <c r="Q45" i="1"/>
  <c r="Q46" i="1"/>
  <c r="Q47" i="1"/>
  <c r="Q48" i="1"/>
  <c r="Q49" i="1"/>
  <c r="C17" i="1"/>
  <c r="Q32" i="1"/>
  <c r="E27" i="1"/>
  <c r="E39" i="2" s="1"/>
  <c r="E30" i="1"/>
  <c r="E42" i="2" s="1"/>
  <c r="E24" i="1"/>
  <c r="E36" i="2" s="1"/>
  <c r="E33" i="1"/>
  <c r="E44" i="2" s="1"/>
  <c r="F33" i="1"/>
  <c r="G33" i="1" s="1"/>
  <c r="J33" i="1" s="1"/>
  <c r="E31" i="1"/>
  <c r="F31" i="1" s="1"/>
  <c r="G31" i="1" s="1"/>
  <c r="H31" i="1" s="1"/>
  <c r="F27" i="1"/>
  <c r="E23" i="1"/>
  <c r="E35" i="2" s="1"/>
  <c r="E26" i="1"/>
  <c r="E38" i="2" s="1"/>
  <c r="F26" i="1"/>
  <c r="G26" i="1" s="1"/>
  <c r="H26" i="1" s="1"/>
  <c r="F24" i="1"/>
  <c r="G24" i="1" s="1"/>
  <c r="H24" i="1" s="1"/>
  <c r="E22" i="1"/>
  <c r="E34" i="2" s="1"/>
  <c r="E34" i="1"/>
  <c r="F34" i="1"/>
  <c r="U34" i="1" s="1"/>
  <c r="E29" i="1"/>
  <c r="F29" i="1" s="1"/>
  <c r="G29" i="1" s="1"/>
  <c r="H29" i="1" s="1"/>
  <c r="G27" i="1"/>
  <c r="H27" i="1"/>
  <c r="E25" i="1"/>
  <c r="E37" i="2" s="1"/>
  <c r="E21" i="1"/>
  <c r="F21" i="1" s="1"/>
  <c r="G21" i="1" s="1"/>
  <c r="H21" i="1" s="1"/>
  <c r="E32" i="1"/>
  <c r="F32" i="1" s="1"/>
  <c r="E28" i="1"/>
  <c r="E40" i="2" s="1"/>
  <c r="F28" i="1"/>
  <c r="G28" i="1" s="1"/>
  <c r="H28" i="1" s="1"/>
  <c r="E53" i="2"/>
  <c r="E33" i="2"/>
  <c r="E45" i="2"/>
  <c r="E11" i="2"/>
  <c r="E41" i="2"/>
  <c r="E43" i="2"/>
  <c r="F30" i="1"/>
  <c r="G30" i="1" s="1"/>
  <c r="H30" i="1" s="1"/>
  <c r="F23" i="1" l="1"/>
  <c r="G23" i="1" s="1"/>
  <c r="H23" i="1" s="1"/>
  <c r="E51" i="1"/>
  <c r="E40" i="1"/>
  <c r="E35" i="1"/>
  <c r="E85" i="1"/>
  <c r="F85" i="1" s="1"/>
  <c r="G85" i="1" s="1"/>
  <c r="K85" i="1" s="1"/>
  <c r="E69" i="1"/>
  <c r="F69" i="1" s="1"/>
  <c r="G69" i="1" s="1"/>
  <c r="K69" i="1" s="1"/>
  <c r="E75" i="1"/>
  <c r="F75" i="1" s="1"/>
  <c r="G75" i="1" s="1"/>
  <c r="K75" i="1" s="1"/>
  <c r="E58" i="1"/>
  <c r="E60" i="1"/>
  <c r="E55" i="1"/>
  <c r="E50" i="1"/>
  <c r="E45" i="1"/>
  <c r="E39" i="1"/>
  <c r="E84" i="1"/>
  <c r="F84" i="1" s="1"/>
  <c r="G84" i="1" s="1"/>
  <c r="K84" i="1" s="1"/>
  <c r="E74" i="1"/>
  <c r="E68" i="1"/>
  <c r="F68" i="1" s="1"/>
  <c r="G68" i="1" s="1"/>
  <c r="K68" i="1" s="1"/>
  <c r="E91" i="1"/>
  <c r="F91" i="1" s="1"/>
  <c r="G91" i="1" s="1"/>
  <c r="K91" i="1" s="1"/>
  <c r="E13" i="2"/>
  <c r="E47" i="2"/>
  <c r="E27" i="2"/>
  <c r="E63" i="1"/>
  <c r="F63" i="1" s="1"/>
  <c r="G63" i="1" s="1"/>
  <c r="K63" i="1" s="1"/>
  <c r="G57" i="1"/>
  <c r="K57" i="1" s="1"/>
  <c r="G53" i="1"/>
  <c r="J53" i="1" s="1"/>
  <c r="E49" i="1"/>
  <c r="E43" i="1"/>
  <c r="E38" i="1"/>
  <c r="E83" i="1"/>
  <c r="F83" i="1" s="1"/>
  <c r="G83" i="1" s="1"/>
  <c r="K83" i="1" s="1"/>
  <c r="E72" i="1"/>
  <c r="F72" i="1" s="1"/>
  <c r="G72" i="1" s="1"/>
  <c r="K72" i="1" s="1"/>
  <c r="E66" i="1"/>
  <c r="F66" i="1" s="1"/>
  <c r="G66" i="1" s="1"/>
  <c r="K66" i="1" s="1"/>
  <c r="E52" i="2"/>
  <c r="E14" i="2"/>
  <c r="E32" i="2"/>
  <c r="F22" i="1"/>
  <c r="G22" i="1" s="1"/>
  <c r="H22" i="1" s="1"/>
  <c r="E23" i="2"/>
  <c r="E31" i="2"/>
  <c r="E25" i="2"/>
  <c r="F25" i="1"/>
  <c r="G25" i="1" s="1"/>
  <c r="H25" i="1" s="1"/>
  <c r="E21" i="2"/>
  <c r="E19" i="2"/>
  <c r="E28" i="2"/>
  <c r="F74" i="1" l="1"/>
  <c r="G74" i="1" s="1"/>
  <c r="E59" i="2"/>
  <c r="F58" i="1"/>
  <c r="U58" i="1" s="1"/>
  <c r="K58" i="1" s="1"/>
  <c r="E55" i="2"/>
  <c r="F39" i="1"/>
  <c r="G39" i="1" s="1"/>
  <c r="J39" i="1" s="1"/>
  <c r="E50" i="2"/>
  <c r="E16" i="2"/>
  <c r="F49" i="1"/>
  <c r="G49" i="1" s="1"/>
  <c r="J49" i="1" s="1"/>
  <c r="F45" i="1"/>
  <c r="G45" i="1" s="1"/>
  <c r="K45" i="1" s="1"/>
  <c r="E12" i="2"/>
  <c r="E46" i="2"/>
  <c r="F35" i="1"/>
  <c r="G35" i="1" s="1"/>
  <c r="F50" i="1"/>
  <c r="G50" i="1" s="1"/>
  <c r="K50" i="1" s="1"/>
  <c r="E17" i="2"/>
  <c r="E51" i="2"/>
  <c r="F40" i="1"/>
  <c r="G40" i="1" s="1"/>
  <c r="J40" i="1" s="1"/>
  <c r="F38" i="1"/>
  <c r="G38" i="1" s="1"/>
  <c r="J38" i="1" s="1"/>
  <c r="E49" i="2"/>
  <c r="E22" i="2"/>
  <c r="F55" i="1"/>
  <c r="G55" i="1" s="1"/>
  <c r="J55" i="1" s="1"/>
  <c r="E18" i="2"/>
  <c r="F51" i="1"/>
  <c r="G51" i="1" s="1"/>
  <c r="J51" i="1" s="1"/>
  <c r="F43" i="1"/>
  <c r="G43" i="1" s="1"/>
  <c r="J43" i="1" s="1"/>
  <c r="E54" i="2"/>
  <c r="F60" i="1"/>
  <c r="G60" i="1" s="1"/>
  <c r="K60" i="1" s="1"/>
  <c r="E26" i="2"/>
  <c r="C11" i="1"/>
  <c r="C12" i="1"/>
  <c r="C16" i="1" l="1"/>
  <c r="D18" i="1" s="1"/>
  <c r="O89" i="1"/>
  <c r="O25" i="1"/>
  <c r="O31" i="1"/>
  <c r="O23" i="1"/>
  <c r="O27" i="1"/>
  <c r="O61" i="1"/>
  <c r="O79" i="1"/>
  <c r="O52" i="1"/>
  <c r="O53" i="1"/>
  <c r="O88" i="1"/>
  <c r="O60" i="1"/>
  <c r="O83" i="1"/>
  <c r="O80" i="1"/>
  <c r="O65" i="1"/>
  <c r="O46" i="1"/>
  <c r="O75" i="1"/>
  <c r="O24" i="1"/>
  <c r="O28" i="1"/>
  <c r="O92" i="1"/>
  <c r="O85" i="1"/>
  <c r="O70" i="1"/>
  <c r="O45" i="1"/>
  <c r="O42" i="1"/>
  <c r="O57" i="1"/>
  <c r="O82" i="1"/>
  <c r="O29" i="1"/>
  <c r="O43" i="1"/>
  <c r="O76" i="1"/>
  <c r="O91" i="1"/>
  <c r="O36" i="1"/>
  <c r="O59" i="1"/>
  <c r="O73" i="1"/>
  <c r="O51" i="1"/>
  <c r="O44" i="1"/>
  <c r="O72" i="1"/>
  <c r="O63" i="1"/>
  <c r="O38" i="1"/>
  <c r="O40" i="1"/>
  <c r="O33" i="1"/>
  <c r="O66" i="1"/>
  <c r="O56" i="1"/>
  <c r="O26" i="1"/>
  <c r="O30" i="1"/>
  <c r="O78" i="1"/>
  <c r="O87" i="1"/>
  <c r="O34" i="1"/>
  <c r="O39" i="1"/>
  <c r="O90" i="1"/>
  <c r="O68" i="1"/>
  <c r="O32" i="1"/>
  <c r="O74" i="1"/>
  <c r="O21" i="1"/>
  <c r="O54" i="1"/>
  <c r="O41" i="1"/>
  <c r="O69" i="1"/>
  <c r="O35" i="1"/>
  <c r="O64" i="1"/>
  <c r="O71" i="1"/>
  <c r="O22" i="1"/>
  <c r="O37" i="1"/>
  <c r="O49" i="1"/>
  <c r="O86" i="1"/>
  <c r="O55" i="1"/>
  <c r="O67" i="1"/>
  <c r="O58" i="1"/>
  <c r="O84" i="1"/>
  <c r="O47" i="1"/>
  <c r="O81" i="1"/>
  <c r="O50" i="1"/>
  <c r="O77" i="1"/>
  <c r="O48" i="1"/>
  <c r="O62" i="1"/>
  <c r="C15" i="1"/>
  <c r="F18" i="1" s="1"/>
  <c r="F19" i="1" s="1"/>
  <c r="J35" i="1"/>
  <c r="C18" i="1" l="1"/>
</calcChain>
</file>

<file path=xl/sharedStrings.xml><?xml version="1.0" encoding="utf-8"?>
<sst xmlns="http://schemas.openxmlformats.org/spreadsheetml/2006/main" count="661" uniqueCount="321">
  <si>
    <t>VSB-059</t>
  </si>
  <si>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</si>
  <si>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</si>
  <si>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</si>
  <si>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</si>
  <si>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</si>
  <si>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</si>
  <si>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</si>
  <si>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</si>
  <si>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</si>
  <si>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</si>
  <si>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</si>
  <si>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</si>
  <si>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</si>
  <si>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</si>
  <si>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</si>
  <si>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</si>
  <si>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</si>
  <si>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</si>
  <si>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</si>
  <si>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</si>
  <si>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</si>
  <si>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</si>
  <si>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</si>
  <si>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</si>
  <si>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</si>
  <si>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</si>
  <si>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</si>
  <si>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</si>
  <si>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</si>
  <si>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</si>
  <si>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</si>
  <si>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LT Her / GSC 00966-00237</t>
  </si>
  <si>
    <t>EA</t>
  </si>
  <si>
    <t>Sp:  A2 V</t>
  </si>
  <si>
    <t>BBSAG Bull.109</t>
  </si>
  <si>
    <t>IBVS 5027</t>
  </si>
  <si>
    <t>II</t>
  </si>
  <si>
    <t>I</t>
  </si>
  <si>
    <t>IBVS 5296</t>
  </si>
  <si>
    <t>IBVS 5484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</si>
  <si>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</si>
  <si>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</si>
  <si>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</si>
  <si>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</si>
  <si>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</si>
  <si>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</si>
  <si>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</si>
  <si>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</si>
  <si>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5837</t>
  </si>
  <si>
    <t>IBVS 5938</t>
  </si>
  <si>
    <t>Add cycle</t>
  </si>
  <si>
    <t>Old Cycle</t>
  </si>
  <si>
    <t>OEJV 0137</t>
  </si>
  <si>
    <t>IBVS 5918</t>
  </si>
  <si>
    <t>IBVS 5959</t>
  </si>
  <si>
    <t>JAVSO..38...85</t>
  </si>
  <si>
    <t>JAVSO..39...94</t>
  </si>
  <si>
    <t>JAVSO..40....1</t>
  </si>
  <si>
    <t>JAVSO..37...44</t>
  </si>
  <si>
    <t>VSS_2013-01-28</t>
  </si>
  <si>
    <t>JAVSO..40..975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</si>
  <si>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</si>
  <si>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</si>
  <si>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</si>
  <si>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</si>
  <si>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</si>
  <si>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</si>
  <si>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</si>
  <si>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</si>
  <si>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</si>
  <si>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</si>
  <si>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</si>
  <si>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</si>
  <si>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</si>
  <si>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</si>
  <si>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2430893.21 </t>
  </si>
  <si>
    <t> 17.06.1943 17:02 </t>
  </si>
  <si>
    <t> 0.10 </t>
  </si>
  <si>
    <t>V </t>
  </si>
  <si>
    <t> W.Zessewitsch </t>
  </si>
  <si>
    <t> IODE 4.2.109 </t>
  </si>
  <si>
    <t>2430894.27 </t>
  </si>
  <si>
    <t> 18.06.1943 18:28 </t>
  </si>
  <si>
    <t> 0.08 </t>
  </si>
  <si>
    <t>2430895.35 </t>
  </si>
  <si>
    <t> 19.06.1943 20:24 </t>
  </si>
  <si>
    <t> 0.07 </t>
  </si>
  <si>
    <t>2430908.31 </t>
  </si>
  <si>
    <t> 02.07.1943 19:26 </t>
  </si>
  <si>
    <t> 0.02 </t>
  </si>
  <si>
    <t>2430945.27 </t>
  </si>
  <si>
    <t> 08.08.1943 18:28 </t>
  </si>
  <si>
    <t> 0.13 </t>
  </si>
  <si>
    <t>2430946.33 </t>
  </si>
  <si>
    <t> 09.08.1943 19:55 </t>
  </si>
  <si>
    <t>2430971.26 </t>
  </si>
  <si>
    <t> 03.09.1943 18:14 </t>
  </si>
  <si>
    <t>2430996.20 </t>
  </si>
  <si>
    <t> 28.09.1943 16:48 </t>
  </si>
  <si>
    <t>2431021.12 </t>
  </si>
  <si>
    <t> 23.10.1943 14:52 </t>
  </si>
  <si>
    <t> 0.09 </t>
  </si>
  <si>
    <t>2431216.26 </t>
  </si>
  <si>
    <t> 05.05.1944 18:14 </t>
  </si>
  <si>
    <t>2431256.35 </t>
  </si>
  <si>
    <t> 14.06.1944 20:24 </t>
  </si>
  <si>
    <t>2441864.7403 </t>
  </si>
  <si>
    <t> 01.07.1973 05:46 </t>
  </si>
  <si>
    <t> 0.0020 </t>
  </si>
  <si>
    <t>E </t>
  </si>
  <si>
    <t>?</t>
  </si>
  <si>
    <t> Ebbighausen [Lkn.] </t>
  </si>
  <si>
    <t> PASP 86.205 </t>
  </si>
  <si>
    <t>2445820.456 </t>
  </si>
  <si>
    <t> 29.04.1984 22:56 </t>
  </si>
  <si>
    <t> 0.035 </t>
  </si>
  <si>
    <t> B.-C.Kämper </t>
  </si>
  <si>
    <t>BAVM 38 </t>
  </si>
  <si>
    <t>2447266.5070 </t>
  </si>
  <si>
    <t> 15.04.1988 00:10 </t>
  </si>
  <si>
    <t> -0.0315 </t>
  </si>
  <si>
    <t>B;V</t>
  </si>
  <si>
    <t> F.Agerer </t>
  </si>
  <si>
    <t>BAVM 50 </t>
  </si>
  <si>
    <t>2447653.5143 </t>
  </si>
  <si>
    <t> 07.05.1989 00:20 </t>
  </si>
  <si>
    <t> -0.0285 </t>
  </si>
  <si>
    <t>BAVM 52 </t>
  </si>
  <si>
    <t>2448014.499 </t>
  </si>
  <si>
    <t> 02.05.1990 23:58 </t>
  </si>
  <si>
    <t> -0.031 </t>
  </si>
  <si>
    <t> Moschner&amp;Kleikamp </t>
  </si>
  <si>
    <t>BAVM 59 </t>
  </si>
  <si>
    <t>2448762.4725 </t>
  </si>
  <si>
    <t> 19.05.1992 23:20 </t>
  </si>
  <si>
    <t> -0.0492 </t>
  </si>
  <si>
    <t>G</t>
  </si>
  <si>
    <t>BAVM 60 </t>
  </si>
  <si>
    <t>2448762.4744 </t>
  </si>
  <si>
    <t> 19.05.1992 23:23 </t>
  </si>
  <si>
    <t> -0.0473 </t>
  </si>
  <si>
    <t>2449060.5783 </t>
  </si>
  <si>
    <t> 14.03.1993 01:52 </t>
  </si>
  <si>
    <t> -0.0560 </t>
  </si>
  <si>
    <t>B</t>
  </si>
  <si>
    <t>BAVM 62 </t>
  </si>
  <si>
    <t>2449060.5842 </t>
  </si>
  <si>
    <t> 14.03.1993 02:01 </t>
  </si>
  <si>
    <t> -0.0501 </t>
  </si>
  <si>
    <t>2449472.5069 </t>
  </si>
  <si>
    <t> 30.04.1994 00:09 </t>
  </si>
  <si>
    <t> -0.0648 </t>
  </si>
  <si>
    <t>BAVM 68 </t>
  </si>
  <si>
    <t>2449472.5105 </t>
  </si>
  <si>
    <t> 30.04.1994 00:15 </t>
  </si>
  <si>
    <t> -0.0612 </t>
  </si>
  <si>
    <t>2449859.5156 </t>
  </si>
  <si>
    <t> 22.05.1995 00:22 </t>
  </si>
  <si>
    <t> -0.0604 </t>
  </si>
  <si>
    <t> R.Diethelm </t>
  </si>
  <si>
    <t> BBS 109 </t>
  </si>
  <si>
    <t>2451287.7312 </t>
  </si>
  <si>
    <t> 19.04.1999 05:32 </t>
  </si>
  <si>
    <t> -0.0752 </t>
  </si>
  <si>
    <t>IBVS 5027 </t>
  </si>
  <si>
    <t>2451308.8692 </t>
  </si>
  <si>
    <t> 10.05.1999 08:51 </t>
  </si>
  <si>
    <t> -0.0761 </t>
  </si>
  <si>
    <t>2451703.4593 </t>
  </si>
  <si>
    <t> 07.06.2000 23:01 </t>
  </si>
  <si>
    <t> -0.0786 </t>
  </si>
  <si>
    <t>-I</t>
  </si>
  <si>
    <t> W.Kleikamp </t>
  </si>
  <si>
    <t>BAVM 152 </t>
  </si>
  <si>
    <t>2452426.5059 </t>
  </si>
  <si>
    <t> 01.06.2002 00:08 </t>
  </si>
  <si>
    <t>10766</t>
  </si>
  <si>
    <t> -0.0906 </t>
  </si>
  <si>
    <t>BAVM 158 </t>
  </si>
  <si>
    <t>2453408.6264 </t>
  </si>
  <si>
    <t> 07.02.2005 03:02 </t>
  </si>
  <si>
    <t>11672</t>
  </si>
  <si>
    <t> -0.1156 </t>
  </si>
  <si>
    <t>C </t>
  </si>
  <si>
    <t>o</t>
  </si>
  <si>
    <t> Moschner </t>
  </si>
  <si>
    <t>BAVM 178 </t>
  </si>
  <si>
    <t>2453589.6659 </t>
  </si>
  <si>
    <t> 07.08.2005 03:58 </t>
  </si>
  <si>
    <t>11839</t>
  </si>
  <si>
    <t> -0.1117 </t>
  </si>
  <si>
    <t>ns</t>
  </si>
  <si>
    <t> C.Hesseltine </t>
  </si>
  <si>
    <t>JAAVSO 37(1);44 </t>
  </si>
  <si>
    <t>2454218.4095 </t>
  </si>
  <si>
    <t> 27.04.2007 21:49 </t>
  </si>
  <si>
    <t>12419</t>
  </si>
  <si>
    <t> -0.1147 </t>
  </si>
  <si>
    <t> U.Schmidt </t>
  </si>
  <si>
    <t>BAVM 186 </t>
  </si>
  <si>
    <t>2454235.7502 </t>
  </si>
  <si>
    <t> 15.05.2007 06:00 </t>
  </si>
  <si>
    <t>12435</t>
  </si>
  <si>
    <t> -0.1187 </t>
  </si>
  <si>
    <t> J.Bialozynski </t>
  </si>
  <si>
    <t>2454244.4224 </t>
  </si>
  <si>
    <t> 23.05.2007 22:08 </t>
  </si>
  <si>
    <t>12443</t>
  </si>
  <si>
    <t> -0.1189 </t>
  </si>
  <si>
    <t>2454261.7725 </t>
  </si>
  <si>
    <t> 10.06.2007 06:32 </t>
  </si>
  <si>
    <t>12459</t>
  </si>
  <si>
    <t> -0.1135 </t>
  </si>
  <si>
    <t>2454296.4520 </t>
  </si>
  <si>
    <t> 14.07.2007 22:50 </t>
  </si>
  <si>
    <t>12491</t>
  </si>
  <si>
    <t> -0.1235 </t>
  </si>
  <si>
    <t>IBVS 5837 </t>
  </si>
  <si>
    <t>2454555.5385 </t>
  </si>
  <si>
    <t> 30.03.2008 00:55 </t>
  </si>
  <si>
    <t>12730</t>
  </si>
  <si>
    <t> -0.1239 </t>
  </si>
  <si>
    <t> M.&amp; K.Rätz </t>
  </si>
  <si>
    <t>BAVM 209 </t>
  </si>
  <si>
    <t>2454596.7338 </t>
  </si>
  <si>
    <t> 10.05.2008 05:36 </t>
  </si>
  <si>
    <t>12768</t>
  </si>
  <si>
    <t> -0.1224 </t>
  </si>
  <si>
    <t>2454608.1716 </t>
  </si>
  <si>
    <t> 21.05.2008 16:07 </t>
  </si>
  <si>
    <t>12778.5</t>
  </si>
  <si>
    <t> -0.0671 </t>
  </si>
  <si>
    <t>Rc</t>
  </si>
  <si>
    <t> K.Nagai </t>
  </si>
  <si>
    <t>VSB 48 </t>
  </si>
  <si>
    <t>2454941.4588 </t>
  </si>
  <si>
    <t> 19.04.2009 23:00 </t>
  </si>
  <si>
    <t>13086</t>
  </si>
  <si>
    <t>-U;-I</t>
  </si>
  <si>
    <t> M.Rätz &amp; K.Rätz </t>
  </si>
  <si>
    <t>BAVM 214 </t>
  </si>
  <si>
    <t>2454945.7946 </t>
  </si>
  <si>
    <t> 24.04.2009 07:04 </t>
  </si>
  <si>
    <t>13090</t>
  </si>
  <si>
    <t> -0.1243 </t>
  </si>
  <si>
    <t> S.Dvorak </t>
  </si>
  <si>
    <t>IBVS 5938 </t>
  </si>
  <si>
    <t>2454945.7970 </t>
  </si>
  <si>
    <t> 24.04.2009 07:07 </t>
  </si>
  <si>
    <t> -0.1219 </t>
  </si>
  <si>
    <t> K.Menzies </t>
  </si>
  <si>
    <t> JAAVSO 38;85 </t>
  </si>
  <si>
    <t>2455340.3866 </t>
  </si>
  <si>
    <t> 23.05.2010 21:16 </t>
  </si>
  <si>
    <t>13454</t>
  </si>
  <si>
    <t> -0.1250 </t>
  </si>
  <si>
    <t> G.Corfini </t>
  </si>
  <si>
    <t>OEJV 0137 </t>
  </si>
  <si>
    <t>2455345.8105 </t>
  </si>
  <si>
    <t> 29.05.2010 07:27 </t>
  </si>
  <si>
    <t>13459</t>
  </si>
  <si>
    <t> -0.1213 </t>
  </si>
  <si>
    <t> G.Samolyk </t>
  </si>
  <si>
    <t> JAAVSO 39;94 </t>
  </si>
  <si>
    <t>2455353.3966 </t>
  </si>
  <si>
    <t> 05.06.2010 21:31 </t>
  </si>
  <si>
    <t>13466</t>
  </si>
  <si>
    <t>2455752.3184 </t>
  </si>
  <si>
    <t> 09.07.2011 19:38 </t>
  </si>
  <si>
    <t>13834</t>
  </si>
  <si>
    <t> -0.1306 </t>
  </si>
  <si>
    <t> Y.Ogmen </t>
  </si>
  <si>
    <t> JAAVSO 40;975 </t>
  </si>
  <si>
    <t>2455778.3450 </t>
  </si>
  <si>
    <t> 04.08.2011 20:16 </t>
  </si>
  <si>
    <t>13858</t>
  </si>
  <si>
    <t> -0.1211 </t>
  </si>
  <si>
    <t>2456050.4343 </t>
  </si>
  <si>
    <t> 02.05.2012 22:25 </t>
  </si>
  <si>
    <t>14109</t>
  </si>
  <si>
    <t> -0.1273 </t>
  </si>
  <si>
    <t> A.Liakos et al. </t>
  </si>
  <si>
    <t>IBVS 6095 </t>
  </si>
  <si>
    <t>2456070.4840 </t>
  </si>
  <si>
    <t> 22.05.2012 23:36 </t>
  </si>
  <si>
    <t>14127.5</t>
  </si>
  <si>
    <t> -0.1324 </t>
  </si>
  <si>
    <t>2456807.097 </t>
  </si>
  <si>
    <t> 29.05.2014 14:19 </t>
  </si>
  <si>
    <t>14807</t>
  </si>
  <si>
    <t> -0.129 </t>
  </si>
  <si>
    <t>VSB 59 </t>
  </si>
  <si>
    <t>2456807.110 </t>
  </si>
  <si>
    <t> 29.05.2014 14:38 </t>
  </si>
  <si>
    <t> -0.116 </t>
  </si>
  <si>
    <t>Ic</t>
  </si>
  <si>
    <t>2456812.5078 </t>
  </si>
  <si>
    <t> 04.06.2014 00:11 </t>
  </si>
  <si>
    <t>14812</t>
  </si>
  <si>
    <t> -0.1380 </t>
  </si>
  <si>
    <t>BAVM 238 </t>
  </si>
  <si>
    <t>2456823.3441 </t>
  </si>
  <si>
    <t> 14.06.2014 20:15 </t>
  </si>
  <si>
    <t>14822</t>
  </si>
  <si>
    <t> -0.1421 </t>
  </si>
  <si>
    <t> JAAVSO 42;426 </t>
  </si>
  <si>
    <t>2457179.4535 </t>
  </si>
  <si>
    <t> 05.06.2015 22:53 </t>
  </si>
  <si>
    <t>15150.5</t>
  </si>
  <si>
    <t> -0.1418 </t>
  </si>
  <si>
    <t>BAVM 241 (=IBVS 6157) </t>
  </si>
  <si>
    <t>IBVS 6157</t>
  </si>
  <si>
    <t>IBVS 6095</t>
  </si>
  <si>
    <t>VSB_061</t>
  </si>
  <si>
    <t>JAVSO..44..164</t>
  </si>
  <si>
    <t>JAVSO..45..215</t>
  </si>
  <si>
    <t>JAVSO 49, 256</t>
  </si>
  <si>
    <t>JAVSO, 48, 87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</si>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</sst>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42" applyFont="1"/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9" fillId="0" borderId="8" xfId="0" applyFont="1" applyBorder="1" applyAlignment="1">
      <alignment horizontal="center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091-901B-F099515785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091-901B-F099515785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0C-4091-901B-F099515785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-0.16133580000314396</c:v>
                </c:pt>
                <c:pt idx="68">
                  <c:v>-0.1468444999991334</c:v>
                </c:pt>
                <c:pt idx="69">
                  <c:v>-0.1639355999941472</c:v>
                </c:pt>
                <c:pt idx="70">
                  <c:v>-0.16508320000139065</c:v>
                </c:pt>
                <c:pt idx="71">
                  <c:v>-0.16643660000409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0C-4091-901B-F099515785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0C-4091-901B-F099515785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0C-4091-901B-F099515785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0C-4091-901B-F099515785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0.14400361569559814</c:v>
                </c:pt>
                <c:pt idx="1">
                  <c:v>0.14399180008489826</c:v>
                </c:pt>
                <c:pt idx="2">
                  <c:v>0.14397998447419835</c:v>
                </c:pt>
                <c:pt idx="3">
                  <c:v>0.1438381971457996</c:v>
                </c:pt>
                <c:pt idx="4">
                  <c:v>0.14343646638200319</c:v>
                </c:pt>
                <c:pt idx="5">
                  <c:v>0.14342465077130329</c:v>
                </c:pt>
                <c:pt idx="6">
                  <c:v>0.14315289172520571</c:v>
                </c:pt>
                <c:pt idx="7">
                  <c:v>0.14288113267910812</c:v>
                </c:pt>
                <c:pt idx="8">
                  <c:v>0.14260937363301054</c:v>
                </c:pt>
                <c:pt idx="9">
                  <c:v>0.14048256370702944</c:v>
                </c:pt>
                <c:pt idx="10">
                  <c:v>0.14004538611113335</c:v>
                </c:pt>
                <c:pt idx="11">
                  <c:v>3.6505189547954328E-2</c:v>
                </c:pt>
                <c:pt idx="12">
                  <c:v>2.4417819801961844E-2</c:v>
                </c:pt>
                <c:pt idx="13">
                  <c:v>-1.8697343641954647E-2</c:v>
                </c:pt>
                <c:pt idx="14">
                  <c:v>-3.4459368315614455E-2</c:v>
                </c:pt>
                <c:pt idx="15">
                  <c:v>-3.8677541335476934E-2</c:v>
                </c:pt>
                <c:pt idx="16">
                  <c:v>-4.2612139698541926E-2</c:v>
                </c:pt>
                <c:pt idx="17">
                  <c:v>-5.076491108146941E-2</c:v>
                </c:pt>
                <c:pt idx="18">
                  <c:v>-5.076491108146941E-2</c:v>
                </c:pt>
                <c:pt idx="19">
                  <c:v>-5.4014204023940512E-2</c:v>
                </c:pt>
                <c:pt idx="20">
                  <c:v>-5.4014204023940512E-2</c:v>
                </c:pt>
                <c:pt idx="21">
                  <c:v>-5.8504136089900571E-2</c:v>
                </c:pt>
                <c:pt idx="22">
                  <c:v>-5.8504136089900571E-2</c:v>
                </c:pt>
                <c:pt idx="23">
                  <c:v>-6.272230910976305E-2</c:v>
                </c:pt>
                <c:pt idx="24">
                  <c:v>-7.8289376206874581E-2</c:v>
                </c:pt>
                <c:pt idx="25">
                  <c:v>-7.8519780615522533E-2</c:v>
                </c:pt>
                <c:pt idx="26">
                  <c:v>-8.2820662910284282E-2</c:v>
                </c:pt>
                <c:pt idx="27">
                  <c:v>-9.0701675247114186E-2</c:v>
                </c:pt>
                <c:pt idx="28">
                  <c:v>-0.10140661854121895</c:v>
                </c:pt>
                <c:pt idx="29">
                  <c:v>-0.10337982552810142</c:v>
                </c:pt>
                <c:pt idx="30">
                  <c:v>-0.11023287973404046</c:v>
                </c:pt>
                <c:pt idx="31">
                  <c:v>-0.11042192950523876</c:v>
                </c:pt>
                <c:pt idx="32">
                  <c:v>-0.11051645439083792</c:v>
                </c:pt>
                <c:pt idx="33">
                  <c:v>-0.11070550416203624</c:v>
                </c:pt>
                <c:pt idx="34">
                  <c:v>-0.11108360370443289</c:v>
                </c:pt>
                <c:pt idx="35">
                  <c:v>-0.11390753466170776</c:v>
                </c:pt>
                <c:pt idx="36">
                  <c:v>-0.11435652786830376</c:v>
                </c:pt>
                <c:pt idx="37">
                  <c:v>-0.11448059178065266</c:v>
                </c:pt>
                <c:pt idx="38">
                  <c:v>-0.11811389207087035</c:v>
                </c:pt>
                <c:pt idx="39">
                  <c:v>-0.11816115451366992</c:v>
                </c:pt>
                <c:pt idx="40">
                  <c:v>-0.11816115451366992</c:v>
                </c:pt>
                <c:pt idx="41">
                  <c:v>-0.12246203680843167</c:v>
                </c:pt>
                <c:pt idx="42">
                  <c:v>-0.12246203680843167</c:v>
                </c:pt>
                <c:pt idx="43">
                  <c:v>-0.12252111486193114</c:v>
                </c:pt>
                <c:pt idx="44">
                  <c:v>-0.12260382413683042</c:v>
                </c:pt>
                <c:pt idx="45">
                  <c:v>-0.12260382413683042</c:v>
                </c:pt>
                <c:pt idx="46">
                  <c:v>-0.12695196887439175</c:v>
                </c:pt>
                <c:pt idx="47">
                  <c:v>-0.12695196887439175</c:v>
                </c:pt>
                <c:pt idx="48">
                  <c:v>-0.12695196887439175</c:v>
                </c:pt>
                <c:pt idx="49">
                  <c:v>-0.12723554353118921</c:v>
                </c:pt>
                <c:pt idx="50">
                  <c:v>-0.12723554353118921</c:v>
                </c:pt>
                <c:pt idx="51">
                  <c:v>-0.12723554353118921</c:v>
                </c:pt>
                <c:pt idx="52">
                  <c:v>-0.13020126181686281</c:v>
                </c:pt>
                <c:pt idx="53">
                  <c:v>-0.13041985061481087</c:v>
                </c:pt>
                <c:pt idx="54">
                  <c:v>-0.13844855808538947</c:v>
                </c:pt>
                <c:pt idx="55">
                  <c:v>-0.13844855808538947</c:v>
                </c:pt>
                <c:pt idx="56">
                  <c:v>-0.13844855808538947</c:v>
                </c:pt>
                <c:pt idx="57">
                  <c:v>-0.13844855808538947</c:v>
                </c:pt>
                <c:pt idx="58">
                  <c:v>-0.13850763613888895</c:v>
                </c:pt>
                <c:pt idx="59">
                  <c:v>-0.13862579224588789</c:v>
                </c:pt>
                <c:pt idx="60">
                  <c:v>-0.14239497205915436</c:v>
                </c:pt>
                <c:pt idx="61">
                  <c:v>-0.14250722036080338</c:v>
                </c:pt>
                <c:pt idx="62">
                  <c:v>-0.14641227969711862</c:v>
                </c:pt>
                <c:pt idx="63">
                  <c:v>-0.1503882326976333</c:v>
                </c:pt>
                <c:pt idx="64">
                  <c:v>-0.1504768497778825</c:v>
                </c:pt>
                <c:pt idx="65">
                  <c:v>-0.15048866538858235</c:v>
                </c:pt>
                <c:pt idx="66">
                  <c:v>-0.15061863710628121</c:v>
                </c:pt>
                <c:pt idx="67">
                  <c:v>-0.15905498314600619</c:v>
                </c:pt>
                <c:pt idx="68">
                  <c:v>-0.1626173897720245</c:v>
                </c:pt>
                <c:pt idx="69">
                  <c:v>-0.16651063349763989</c:v>
                </c:pt>
                <c:pt idx="70">
                  <c:v>-0.17031526014300602</c:v>
                </c:pt>
                <c:pt idx="71">
                  <c:v>-0.17058701918910363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0C-4091-901B-F099515785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0C-4091-901B-F0995157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5976"/>
        <c:axId val="1"/>
      </c:scatterChart>
      <c:valAx>
        <c:axId val="889765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68659127625197"/>
              <c:y val="0.8810975609756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10177705977383E-2"/>
          <c:y val="0.90853658536585369"/>
          <c:w val="0.767366720516962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51985437304"/>
          <c:y val="3.353644624209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4-4AAB-BA64-F2EC428194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4-4AAB-BA64-F2EC428194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A4-4AAB-BA64-F2EC428194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-0.16133580000314396</c:v>
                </c:pt>
                <c:pt idx="68">
                  <c:v>-0.1468444999991334</c:v>
                </c:pt>
                <c:pt idx="69">
                  <c:v>-0.1639355999941472</c:v>
                </c:pt>
                <c:pt idx="70">
                  <c:v>-0.16508320000139065</c:v>
                </c:pt>
                <c:pt idx="71">
                  <c:v>-0.16643660000409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A4-4AAB-BA64-F2EC428194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A4-4AAB-BA64-F2EC428194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A4-4AAB-BA64-F2EC428194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4.0000000000000001E-3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A4-4AAB-BA64-F2EC428194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0.14400361569559814</c:v>
                </c:pt>
                <c:pt idx="1">
                  <c:v>0.14399180008489826</c:v>
                </c:pt>
                <c:pt idx="2">
                  <c:v>0.14397998447419835</c:v>
                </c:pt>
                <c:pt idx="3">
                  <c:v>0.1438381971457996</c:v>
                </c:pt>
                <c:pt idx="4">
                  <c:v>0.14343646638200319</c:v>
                </c:pt>
                <c:pt idx="5">
                  <c:v>0.14342465077130329</c:v>
                </c:pt>
                <c:pt idx="6">
                  <c:v>0.14315289172520571</c:v>
                </c:pt>
                <c:pt idx="7">
                  <c:v>0.14288113267910812</c:v>
                </c:pt>
                <c:pt idx="8">
                  <c:v>0.14260937363301054</c:v>
                </c:pt>
                <c:pt idx="9">
                  <c:v>0.14048256370702944</c:v>
                </c:pt>
                <c:pt idx="10">
                  <c:v>0.14004538611113335</c:v>
                </c:pt>
                <c:pt idx="11">
                  <c:v>3.6505189547954328E-2</c:v>
                </c:pt>
                <c:pt idx="12">
                  <c:v>2.4417819801961844E-2</c:v>
                </c:pt>
                <c:pt idx="13">
                  <c:v>-1.8697343641954647E-2</c:v>
                </c:pt>
                <c:pt idx="14">
                  <c:v>-3.4459368315614455E-2</c:v>
                </c:pt>
                <c:pt idx="15">
                  <c:v>-3.8677541335476934E-2</c:v>
                </c:pt>
                <c:pt idx="16">
                  <c:v>-4.2612139698541926E-2</c:v>
                </c:pt>
                <c:pt idx="17">
                  <c:v>-5.076491108146941E-2</c:v>
                </c:pt>
                <c:pt idx="18">
                  <c:v>-5.076491108146941E-2</c:v>
                </c:pt>
                <c:pt idx="19">
                  <c:v>-5.4014204023940512E-2</c:v>
                </c:pt>
                <c:pt idx="20">
                  <c:v>-5.4014204023940512E-2</c:v>
                </c:pt>
                <c:pt idx="21">
                  <c:v>-5.8504136089900571E-2</c:v>
                </c:pt>
                <c:pt idx="22">
                  <c:v>-5.8504136089900571E-2</c:v>
                </c:pt>
                <c:pt idx="23">
                  <c:v>-6.272230910976305E-2</c:v>
                </c:pt>
                <c:pt idx="24">
                  <c:v>-7.8289376206874581E-2</c:v>
                </c:pt>
                <c:pt idx="25">
                  <c:v>-7.8519780615522533E-2</c:v>
                </c:pt>
                <c:pt idx="26">
                  <c:v>-8.2820662910284282E-2</c:v>
                </c:pt>
                <c:pt idx="27">
                  <c:v>-9.0701675247114186E-2</c:v>
                </c:pt>
                <c:pt idx="28">
                  <c:v>-0.10140661854121895</c:v>
                </c:pt>
                <c:pt idx="29">
                  <c:v>-0.10337982552810142</c:v>
                </c:pt>
                <c:pt idx="30">
                  <c:v>-0.11023287973404046</c:v>
                </c:pt>
                <c:pt idx="31">
                  <c:v>-0.11042192950523876</c:v>
                </c:pt>
                <c:pt idx="32">
                  <c:v>-0.11051645439083792</c:v>
                </c:pt>
                <c:pt idx="33">
                  <c:v>-0.11070550416203624</c:v>
                </c:pt>
                <c:pt idx="34">
                  <c:v>-0.11108360370443289</c:v>
                </c:pt>
                <c:pt idx="35">
                  <c:v>-0.11390753466170776</c:v>
                </c:pt>
                <c:pt idx="36">
                  <c:v>-0.11435652786830376</c:v>
                </c:pt>
                <c:pt idx="37">
                  <c:v>-0.11448059178065266</c:v>
                </c:pt>
                <c:pt idx="38">
                  <c:v>-0.11811389207087035</c:v>
                </c:pt>
                <c:pt idx="39">
                  <c:v>-0.11816115451366992</c:v>
                </c:pt>
                <c:pt idx="40">
                  <c:v>-0.11816115451366992</c:v>
                </c:pt>
                <c:pt idx="41">
                  <c:v>-0.12246203680843167</c:v>
                </c:pt>
                <c:pt idx="42">
                  <c:v>-0.12246203680843167</c:v>
                </c:pt>
                <c:pt idx="43">
                  <c:v>-0.12252111486193114</c:v>
                </c:pt>
                <c:pt idx="44">
                  <c:v>-0.12260382413683042</c:v>
                </c:pt>
                <c:pt idx="45">
                  <c:v>-0.12260382413683042</c:v>
                </c:pt>
                <c:pt idx="46">
                  <c:v>-0.12695196887439175</c:v>
                </c:pt>
                <c:pt idx="47">
                  <c:v>-0.12695196887439175</c:v>
                </c:pt>
                <c:pt idx="48">
                  <c:v>-0.12695196887439175</c:v>
                </c:pt>
                <c:pt idx="49">
                  <c:v>-0.12723554353118921</c:v>
                </c:pt>
                <c:pt idx="50">
                  <c:v>-0.12723554353118921</c:v>
                </c:pt>
                <c:pt idx="51">
                  <c:v>-0.12723554353118921</c:v>
                </c:pt>
                <c:pt idx="52">
                  <c:v>-0.13020126181686281</c:v>
                </c:pt>
                <c:pt idx="53">
                  <c:v>-0.13041985061481087</c:v>
                </c:pt>
                <c:pt idx="54">
                  <c:v>-0.13844855808538947</c:v>
                </c:pt>
                <c:pt idx="55">
                  <c:v>-0.13844855808538947</c:v>
                </c:pt>
                <c:pt idx="56">
                  <c:v>-0.13844855808538947</c:v>
                </c:pt>
                <c:pt idx="57">
                  <c:v>-0.13844855808538947</c:v>
                </c:pt>
                <c:pt idx="58">
                  <c:v>-0.13850763613888895</c:v>
                </c:pt>
                <c:pt idx="59">
                  <c:v>-0.13862579224588789</c:v>
                </c:pt>
                <c:pt idx="60">
                  <c:v>-0.14239497205915436</c:v>
                </c:pt>
                <c:pt idx="61">
                  <c:v>-0.14250722036080338</c:v>
                </c:pt>
                <c:pt idx="62">
                  <c:v>-0.14641227969711862</c:v>
                </c:pt>
                <c:pt idx="63">
                  <c:v>-0.1503882326976333</c:v>
                </c:pt>
                <c:pt idx="64">
                  <c:v>-0.1504768497778825</c:v>
                </c:pt>
                <c:pt idx="65">
                  <c:v>-0.15048866538858235</c:v>
                </c:pt>
                <c:pt idx="66">
                  <c:v>-0.15061863710628121</c:v>
                </c:pt>
                <c:pt idx="67">
                  <c:v>-0.15905498314600619</c:v>
                </c:pt>
                <c:pt idx="68">
                  <c:v>-0.1626173897720245</c:v>
                </c:pt>
                <c:pt idx="69">
                  <c:v>-0.16651063349763989</c:v>
                </c:pt>
                <c:pt idx="70">
                  <c:v>-0.17031526014300602</c:v>
                </c:pt>
                <c:pt idx="71">
                  <c:v>-0.17058701918910363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A4-4AAB-BA64-F2EC428194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16551</c:v>
                </c:pt>
                <c:pt idx="68">
                  <c:v>16852.5</c:v>
                </c:pt>
                <c:pt idx="69">
                  <c:v>17182</c:v>
                </c:pt>
                <c:pt idx="70">
                  <c:v>17504</c:v>
                </c:pt>
                <c:pt idx="71">
                  <c:v>17527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A4-4AAB-BA64-F2EC42819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4008"/>
        <c:axId val="1"/>
      </c:scatterChart>
      <c:valAx>
        <c:axId val="889764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19354838709677"/>
              <c:y val="0.8814589665653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258064516129031E-2"/>
          <c:y val="0.90881458966565354"/>
          <c:w val="0.766129032258064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349D856C-CEED-1CF2-62A2-75AB503E3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41" name="Chart 13">
          <a:extLst>
            <a:ext uri="{FF2B5EF4-FFF2-40B4-BE49-F238E27FC236}">
              <a16:creationId xmlns:a16="http://schemas.microsoft.com/office/drawing/2014/main" id="{10A7E30E-2991-60D1-384D-20538FD8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konkoly.hu/cgi-bin/IBVS?5938" TargetMode="External"/><Relationship Id="rId3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konkoly.hu/cgi-bin/IBVS?5837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aavso.org/sites/default/files/jaavso/v37n1/44.pdf" TargetMode="External"/><Relationship Id="rId29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konkoly.hu/cgi-bin/IBVS?6095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t="s">
        <v>34</v>
      </c>
    </row>
    <row r="4" spans="1:6" ht="14.25" thickTop="1" thickBot="1" x14ac:dyDescent="0.25">
      <c r="A4" s="5" t="s">
        <v>3</v>
      </c>
      <c r="C4" s="8">
        <v>40755.759400000003</v>
      </c>
      <c r="D4" s="9">
        <v>1.0840457999999999</v>
      </c>
    </row>
    <row r="5" spans="1:6" ht="13.5" thickTop="1" x14ac:dyDescent="0.2">
      <c r="A5" s="13" t="s">
        <v>42</v>
      </c>
      <c r="B5" s="11"/>
      <c r="C5" s="14">
        <v>-9.5</v>
      </c>
      <c r="D5" s="11" t="s">
        <v>43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40755.759400000003</v>
      </c>
    </row>
    <row r="8" spans="1:6" x14ac:dyDescent="0.2">
      <c r="A8" t="s">
        <v>6</v>
      </c>
      <c r="C8">
        <f>+D4</f>
        <v>1.0840457999999999</v>
      </c>
    </row>
    <row r="9" spans="1:6" x14ac:dyDescent="0.2">
      <c r="A9" s="26" t="s">
        <v>47</v>
      </c>
      <c r="B9" s="27">
        <v>35</v>
      </c>
      <c r="C9" s="16" t="str">
        <f>"F"&amp;B9</f>
        <v>F35</v>
      </c>
      <c r="D9" s="12" t="str">
        <f>"G"&amp;B9</f>
        <v>G35</v>
      </c>
    </row>
    <row r="10" spans="1:6" ht="13.5" thickBot="1" x14ac:dyDescent="0.25">
      <c r="A10" s="11"/>
      <c r="B10" s="11"/>
      <c r="C10" s="4" t="s">
        <v>23</v>
      </c>
      <c r="D10" s="4" t="s">
        <v>24</v>
      </c>
      <c r="E10" s="11"/>
    </row>
    <row r="11" spans="1:6" x14ac:dyDescent="0.2">
      <c r="A11" s="11" t="s">
        <v>19</v>
      </c>
      <c r="B11" s="11"/>
      <c r="C11" s="15">
        <f ca="1">INTERCEPT(INDIRECT($D$9):G980,INDIRECT($C$9):F980)</f>
        <v>3.6505189547954328E-2</v>
      </c>
      <c r="D11" s="3"/>
      <c r="E11" s="11"/>
    </row>
    <row r="12" spans="1:6" x14ac:dyDescent="0.2">
      <c r="A12" s="11" t="s">
        <v>20</v>
      </c>
      <c r="B12" s="11"/>
      <c r="C12" s="15">
        <f ca="1">SLOPE(INDIRECT($D$9):G980,INDIRECT($C$9):F980)</f>
        <v>-1.1815610699894901E-5</v>
      </c>
      <c r="D12" s="3"/>
      <c r="E12" s="11"/>
    </row>
    <row r="13" spans="1:6" x14ac:dyDescent="0.2">
      <c r="A13" s="11" t="s">
        <v>22</v>
      </c>
      <c r="B13" s="11"/>
      <c r="C13" s="3" t="s">
        <v>17</v>
      </c>
    </row>
    <row r="14" spans="1:6" x14ac:dyDescent="0.2">
      <c r="A14" s="11"/>
      <c r="B14" s="11"/>
      <c r="C14" s="11"/>
    </row>
    <row r="15" spans="1:6" x14ac:dyDescent="0.2">
      <c r="A15" s="17" t="s">
        <v>21</v>
      </c>
      <c r="B15" s="11"/>
      <c r="C15" s="18">
        <f ca="1">(C7+C11)+(C8+C12)*INT(MAX(F21:F3521))</f>
        <v>59755.659549580814</v>
      </c>
      <c r="E15" s="19" t="s">
        <v>51</v>
      </c>
      <c r="F15" s="14">
        <v>1</v>
      </c>
    </row>
    <row r="16" spans="1:6" x14ac:dyDescent="0.2">
      <c r="A16" s="21" t="s">
        <v>7</v>
      </c>
      <c r="B16" s="11"/>
      <c r="C16" s="22">
        <f ca="1">+C8+C12</f>
        <v>1.0840339843893001</v>
      </c>
      <c r="E16" s="19" t="s">
        <v>44</v>
      </c>
      <c r="F16" s="20">
        <f ca="1">NOW()+15018.5+$C$5/24</f>
        <v>59958.80351435185</v>
      </c>
    </row>
    <row r="17" spans="1:21" ht="13.5" thickBot="1" x14ac:dyDescent="0.25">
      <c r="A17" s="19" t="s">
        <v>31</v>
      </c>
      <c r="B17" s="11"/>
      <c r="C17" s="11">
        <f>COUNT(C21:C2179)</f>
        <v>72</v>
      </c>
      <c r="E17" s="19" t="s">
        <v>52</v>
      </c>
      <c r="F17" s="20">
        <f ca="1">ROUND(2*(F16-$C$7)/$C$8,0)/2+F15</f>
        <v>17715</v>
      </c>
    </row>
    <row r="18" spans="1:21" ht="14.25" thickTop="1" thickBot="1" x14ac:dyDescent="0.25">
      <c r="A18" s="21" t="s">
        <v>8</v>
      </c>
      <c r="B18" s="11"/>
      <c r="C18" s="24">
        <f ca="1">+C15</f>
        <v>59755.659549580814</v>
      </c>
      <c r="D18" s="25">
        <f ca="1">+C16</f>
        <v>1.0840339843893001</v>
      </c>
      <c r="E18" s="19" t="s">
        <v>45</v>
      </c>
      <c r="F18" s="12">
        <f ca="1">ROUND(2*(F16-$C$15)/$C$16,0)/2+F15</f>
        <v>188.5</v>
      </c>
    </row>
    <row r="19" spans="1:21" ht="13.5" thickTop="1" x14ac:dyDescent="0.2">
      <c r="E19" s="19" t="s">
        <v>46</v>
      </c>
      <c r="F19" s="23">
        <f ca="1">+$C$15+$C$16*F18-15018.5-$C$5/24</f>
        <v>44941.895788971531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71</v>
      </c>
      <c r="I20" s="7" t="s">
        <v>74</v>
      </c>
      <c r="J20" s="7" t="s">
        <v>68</v>
      </c>
      <c r="K20" s="7" t="s">
        <v>66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9" t="s">
        <v>2</v>
      </c>
    </row>
    <row r="21" spans="1:21" x14ac:dyDescent="0.2">
      <c r="A21" s="51" t="s">
        <v>81</v>
      </c>
      <c r="B21" s="52" t="s">
        <v>38</v>
      </c>
      <c r="C21" s="51">
        <v>30893.21</v>
      </c>
      <c r="D21" s="51" t="s">
        <v>74</v>
      </c>
      <c r="E21" s="29">
        <f>+(C21-C$7)/C$8</f>
        <v>-9097.9084094048467</v>
      </c>
      <c r="F21" s="29">
        <f>ROUND(2*E21,0)/2</f>
        <v>-9098</v>
      </c>
      <c r="G21" s="29">
        <f>+C21-(C$7+F21*C$8)</f>
        <v>9.9288399993383791E-2</v>
      </c>
      <c r="H21" s="29">
        <f>+G21</f>
        <v>9.9288399993383791E-2</v>
      </c>
      <c r="I21" s="29"/>
      <c r="K21" s="29"/>
      <c r="L21" s="29"/>
      <c r="M21" s="29"/>
      <c r="O21" s="29">
        <f ca="1">+C$11+C$12*$F21</f>
        <v>0.14400361569559814</v>
      </c>
      <c r="P21" s="29"/>
      <c r="Q21" s="31">
        <f>+C21-15018.5</f>
        <v>15874.71</v>
      </c>
    </row>
    <row r="22" spans="1:21" x14ac:dyDescent="0.2">
      <c r="A22" s="51" t="s">
        <v>81</v>
      </c>
      <c r="B22" s="52" t="s">
        <v>38</v>
      </c>
      <c r="C22" s="51">
        <v>30894.27</v>
      </c>
      <c r="D22" s="51" t="s">
        <v>74</v>
      </c>
      <c r="E22" s="29">
        <f>+(C22-C$7)/C$8</f>
        <v>-9096.9305909399791</v>
      </c>
      <c r="F22" s="29">
        <f>ROUND(2*E22,0)/2</f>
        <v>-9097</v>
      </c>
      <c r="G22" s="29">
        <f>+C22-(C$7+F22*C$8)</f>
        <v>7.5242599999910453E-2</v>
      </c>
      <c r="H22" s="29">
        <f>+G22</f>
        <v>7.5242599999910453E-2</v>
      </c>
      <c r="I22" s="29"/>
      <c r="K22" s="29"/>
      <c r="L22" s="29"/>
      <c r="M22" s="29"/>
      <c r="O22" s="29">
        <f ca="1">+C$11+C$12*$F22</f>
        <v>0.14399180008489826</v>
      </c>
      <c r="P22" s="29"/>
      <c r="Q22" s="31">
        <f>+C22-15018.5</f>
        <v>15875.77</v>
      </c>
    </row>
    <row r="23" spans="1:21" x14ac:dyDescent="0.2">
      <c r="A23" s="51" t="s">
        <v>81</v>
      </c>
      <c r="B23" s="52" t="s">
        <v>38</v>
      </c>
      <c r="C23" s="51">
        <v>30895.35</v>
      </c>
      <c r="D23" s="51" t="s">
        <v>74</v>
      </c>
      <c r="E23" s="29">
        <f>+(C23-C$7)/C$8</f>
        <v>-9095.9343230701179</v>
      </c>
      <c r="F23" s="29">
        <f>ROUND(2*E23,0)/2</f>
        <v>-9096</v>
      </c>
      <c r="G23" s="29">
        <f>+C23-(C$7+F23*C$8)</f>
        <v>7.1196799995959736E-2</v>
      </c>
      <c r="H23" s="29">
        <f>+G23</f>
        <v>7.1196799995959736E-2</v>
      </c>
      <c r="I23" s="29"/>
      <c r="K23" s="29"/>
      <c r="L23" s="29"/>
      <c r="M23" s="29"/>
      <c r="O23" s="29">
        <f ca="1">+C$11+C$12*$F23</f>
        <v>0.14397998447419835</v>
      </c>
      <c r="P23" s="29"/>
      <c r="Q23" s="31">
        <f>+C23-15018.5</f>
        <v>15876.849999999999</v>
      </c>
    </row>
    <row r="24" spans="1:21" x14ac:dyDescent="0.2">
      <c r="A24" s="51" t="s">
        <v>81</v>
      </c>
      <c r="B24" s="52" t="s">
        <v>38</v>
      </c>
      <c r="C24" s="51">
        <v>30908.31</v>
      </c>
      <c r="D24" s="51" t="s">
        <v>74</v>
      </c>
      <c r="E24" s="29">
        <f>+(C24-C$7)/C$8</f>
        <v>-9083.9791086317582</v>
      </c>
      <c r="F24" s="29">
        <f>ROUND(2*E24,0)/2</f>
        <v>-9084</v>
      </c>
      <c r="G24" s="29">
        <f>+C24-(C$7+F24*C$8)</f>
        <v>2.2647199995844858E-2</v>
      </c>
      <c r="H24" s="29">
        <f>+G24</f>
        <v>2.2647199995844858E-2</v>
      </c>
      <c r="I24" s="29"/>
      <c r="K24" s="29"/>
      <c r="L24" s="29"/>
      <c r="M24" s="29"/>
      <c r="O24" s="29">
        <f ca="1">+C$11+C$12*$F24</f>
        <v>0.1438381971457996</v>
      </c>
      <c r="P24" s="29"/>
      <c r="Q24" s="31">
        <f>+C24-15018.5</f>
        <v>15889.810000000001</v>
      </c>
    </row>
    <row r="25" spans="1:21" x14ac:dyDescent="0.2">
      <c r="A25" s="51" t="s">
        <v>81</v>
      </c>
      <c r="B25" s="52" t="s">
        <v>38</v>
      </c>
      <c r="C25" s="51">
        <v>30945.27</v>
      </c>
      <c r="D25" s="51" t="s">
        <v>74</v>
      </c>
      <c r="E25" s="29">
        <f>+(C25-C$7)/C$8</f>
        <v>-9049.8846081964457</v>
      </c>
      <c r="F25" s="29">
        <f>ROUND(2*E25,0)/2</f>
        <v>-9050</v>
      </c>
      <c r="G25" s="29">
        <f>+C25-(C$7+F25*C$8)</f>
        <v>0.12508999999772641</v>
      </c>
      <c r="H25" s="29">
        <f>+G25</f>
        <v>0.12508999999772641</v>
      </c>
      <c r="I25" s="29"/>
      <c r="K25" s="29"/>
      <c r="L25" s="29"/>
      <c r="M25" s="29"/>
      <c r="O25" s="29">
        <f ca="1">+C$11+C$12*$F25</f>
        <v>0.14343646638200319</v>
      </c>
      <c r="P25" s="29"/>
      <c r="Q25" s="31">
        <f>+C25-15018.5</f>
        <v>15926.77</v>
      </c>
    </row>
    <row r="26" spans="1:21" x14ac:dyDescent="0.2">
      <c r="A26" s="51" t="s">
        <v>81</v>
      </c>
      <c r="B26" s="52" t="s">
        <v>38</v>
      </c>
      <c r="C26" s="51">
        <v>30946.33</v>
      </c>
      <c r="D26" s="51" t="s">
        <v>74</v>
      </c>
      <c r="E26" s="29">
        <f>+(C26-C$7)/C$8</f>
        <v>-9048.9067897315799</v>
      </c>
      <c r="F26" s="29">
        <f>ROUND(2*E26,0)/2</f>
        <v>-9049</v>
      </c>
      <c r="G26" s="29">
        <f>+C26-(C$7+F26*C$8)</f>
        <v>0.10104419999697711</v>
      </c>
      <c r="H26" s="29">
        <f>+G26</f>
        <v>0.10104419999697711</v>
      </c>
      <c r="I26" s="29"/>
      <c r="K26" s="29"/>
      <c r="L26" s="29"/>
      <c r="M26" s="29"/>
      <c r="O26" s="29">
        <f ca="1">+C$11+C$12*$F26</f>
        <v>0.14342465077130329</v>
      </c>
      <c r="P26" s="29"/>
      <c r="Q26" s="31">
        <f>+C26-15018.5</f>
        <v>15927.830000000002</v>
      </c>
    </row>
    <row r="27" spans="1:21" x14ac:dyDescent="0.2">
      <c r="A27" s="51" t="s">
        <v>81</v>
      </c>
      <c r="B27" s="52" t="s">
        <v>38</v>
      </c>
      <c r="C27" s="51">
        <v>30971.26</v>
      </c>
      <c r="D27" s="51" t="s">
        <v>74</v>
      </c>
      <c r="E27" s="29">
        <f>+(C27-C$7)/C$8</f>
        <v>-9025.9096064022433</v>
      </c>
      <c r="F27" s="29">
        <f>ROUND(2*E27,0)/2</f>
        <v>-9026</v>
      </c>
      <c r="G27" s="29">
        <f>+C27-(C$7+F27*C$8)</f>
        <v>9.7990799997205613E-2</v>
      </c>
      <c r="H27" s="29">
        <f>+G27</f>
        <v>9.7990799997205613E-2</v>
      </c>
      <c r="I27" s="29"/>
      <c r="K27" s="29"/>
      <c r="L27" s="29"/>
      <c r="M27" s="29"/>
      <c r="O27" s="29">
        <f ca="1">+C$11+C$12*$F27</f>
        <v>0.14315289172520571</v>
      </c>
      <c r="P27" s="29"/>
      <c r="Q27" s="31">
        <f>+C27-15018.5</f>
        <v>15952.759999999998</v>
      </c>
    </row>
    <row r="28" spans="1:21" x14ac:dyDescent="0.2">
      <c r="A28" s="51" t="s">
        <v>81</v>
      </c>
      <c r="B28" s="52" t="s">
        <v>38</v>
      </c>
      <c r="C28" s="51">
        <v>30996.2</v>
      </c>
      <c r="D28" s="51" t="s">
        <v>74</v>
      </c>
      <c r="E28" s="29">
        <f>+(C28-C$7)/C$8</f>
        <v>-9002.9031983704026</v>
      </c>
      <c r="F28" s="29">
        <f>ROUND(2*E28,0)/2</f>
        <v>-9003</v>
      </c>
      <c r="G28" s="29">
        <f>+C28-(C$7+F28*C$8)</f>
        <v>0.1049373999958334</v>
      </c>
      <c r="H28" s="29">
        <f>+G28</f>
        <v>0.1049373999958334</v>
      </c>
      <c r="I28" s="29"/>
      <c r="K28" s="29"/>
      <c r="L28" s="29"/>
      <c r="M28" s="29"/>
      <c r="O28" s="29">
        <f ca="1">+C$11+C$12*$F28</f>
        <v>0.14288113267910812</v>
      </c>
      <c r="P28" s="29"/>
      <c r="Q28" s="31">
        <f>+C28-15018.5</f>
        <v>15977.7</v>
      </c>
    </row>
    <row r="29" spans="1:21" x14ac:dyDescent="0.2">
      <c r="A29" s="51" t="s">
        <v>81</v>
      </c>
      <c r="B29" s="52" t="s">
        <v>38</v>
      </c>
      <c r="C29" s="51">
        <v>31021.119999999999</v>
      </c>
      <c r="D29" s="51" t="s">
        <v>74</v>
      </c>
      <c r="E29" s="29">
        <f>+(C29-C$7)/C$8</f>
        <v>-8979.9152397435646</v>
      </c>
      <c r="F29" s="29">
        <f>ROUND(2*E29,0)/2</f>
        <v>-8980</v>
      </c>
      <c r="G29" s="29">
        <f>+C29-(C$7+F29*C$8)</f>
        <v>9.1883999997662613E-2</v>
      </c>
      <c r="H29" s="29">
        <f>+G29</f>
        <v>9.1883999997662613E-2</v>
      </c>
      <c r="I29" s="29"/>
      <c r="K29" s="29"/>
      <c r="L29" s="29"/>
      <c r="M29" s="29"/>
      <c r="O29" s="29">
        <f ca="1">+C$11+C$12*$F29</f>
        <v>0.14260937363301054</v>
      </c>
      <c r="P29" s="29"/>
      <c r="Q29" s="31">
        <f>+C29-15018.5</f>
        <v>16002.619999999999</v>
      </c>
    </row>
    <row r="30" spans="1:21" x14ac:dyDescent="0.2">
      <c r="A30" s="51" t="s">
        <v>81</v>
      </c>
      <c r="B30" s="52" t="s">
        <v>38</v>
      </c>
      <c r="C30" s="51">
        <v>31216.26</v>
      </c>
      <c r="D30" s="51" t="s">
        <v>74</v>
      </c>
      <c r="E30" s="29">
        <f>+(C30-C$7)/C$8</f>
        <v>-8799.9043951833082</v>
      </c>
      <c r="F30" s="29">
        <f>ROUND(2*E30,0)/2</f>
        <v>-8800</v>
      </c>
      <c r="G30" s="29">
        <f>+C30-(C$7+F30*C$8)</f>
        <v>0.10363999999754014</v>
      </c>
      <c r="H30" s="29">
        <f>+G30</f>
        <v>0.10363999999754014</v>
      </c>
      <c r="I30" s="29"/>
      <c r="K30" s="29"/>
      <c r="L30" s="29"/>
      <c r="M30" s="29"/>
      <c r="O30" s="29">
        <f ca="1">+C$11+C$12*$F30</f>
        <v>0.14048256370702944</v>
      </c>
      <c r="P30" s="29"/>
      <c r="Q30" s="31">
        <f>+C30-15018.5</f>
        <v>16197.759999999998</v>
      </c>
    </row>
    <row r="31" spans="1:21" x14ac:dyDescent="0.2">
      <c r="A31" s="51" t="s">
        <v>81</v>
      </c>
      <c r="B31" s="52" t="s">
        <v>38</v>
      </c>
      <c r="C31" s="51">
        <v>31256.35</v>
      </c>
      <c r="D31" s="51" t="s">
        <v>74</v>
      </c>
      <c r="E31" s="29">
        <f>+(C31-C$7)/C$8</f>
        <v>-8762.9225628658896</v>
      </c>
      <c r="F31" s="29">
        <f>ROUND(2*E31,0)/2</f>
        <v>-8763</v>
      </c>
      <c r="G31" s="29">
        <f>+C31-(C$7+F31*C$8)</f>
        <v>8.3945399994263425E-2</v>
      </c>
      <c r="H31" s="29">
        <f>+G31</f>
        <v>8.3945399994263425E-2</v>
      </c>
      <c r="I31" s="29"/>
      <c r="K31" s="29"/>
      <c r="L31" s="29"/>
      <c r="M31" s="29"/>
      <c r="O31" s="29">
        <f ca="1">+C$11+C$12*$F31</f>
        <v>0.14004538611113335</v>
      </c>
      <c r="P31" s="29"/>
      <c r="Q31" s="31">
        <f>+C31-15018.5</f>
        <v>16237.849999999999</v>
      </c>
    </row>
    <row r="32" spans="1:21" x14ac:dyDescent="0.2">
      <c r="A32" t="s">
        <v>15</v>
      </c>
      <c r="B32" s="3"/>
      <c r="C32" s="28">
        <v>40755.759400000003</v>
      </c>
      <c r="D32" s="28" t="s">
        <v>17</v>
      </c>
      <c r="E32">
        <f>+(C32-C$7)/C$8</f>
        <v>0</v>
      </c>
      <c r="F32">
        <f>ROUND(2*E32,0)/2</f>
        <v>0</v>
      </c>
      <c r="H32" s="12">
        <v>0</v>
      </c>
      <c r="O32">
        <f ca="1">+C$11+C$12*$F32</f>
        <v>3.6505189547954328E-2</v>
      </c>
      <c r="Q32" s="2">
        <f>+C32-15018.5</f>
        <v>25737.259400000003</v>
      </c>
    </row>
    <row r="33" spans="1:21" x14ac:dyDescent="0.2">
      <c r="A33" s="51" t="s">
        <v>113</v>
      </c>
      <c r="B33" s="52" t="s">
        <v>38</v>
      </c>
      <c r="C33" s="51">
        <v>41864.740299999998</v>
      </c>
      <c r="D33" s="51" t="s">
        <v>74</v>
      </c>
      <c r="E33" s="29">
        <f>+(C33-C$7)/C$8</f>
        <v>1023.0018879276089</v>
      </c>
      <c r="F33" s="29">
        <f>ROUND(2*E33,0)/2</f>
        <v>1023</v>
      </c>
      <c r="G33" s="29">
        <f>+C33-(C$7+F33*C$8)</f>
        <v>2.046599991444964E-3</v>
      </c>
      <c r="H33" s="29"/>
      <c r="I33" s="29"/>
      <c r="J33" s="29">
        <f>+G33</f>
        <v>2.046599991444964E-3</v>
      </c>
      <c r="K33" s="29"/>
      <c r="L33" s="29"/>
      <c r="M33" s="29"/>
      <c r="O33" s="29">
        <f ca="1">+C$11+C$12*$F33</f>
        <v>2.4417819801961844E-2</v>
      </c>
      <c r="P33" s="29"/>
      <c r="Q33" s="31">
        <f>+C33-15018.5</f>
        <v>26846.240299999998</v>
      </c>
    </row>
    <row r="34" spans="1:21" x14ac:dyDescent="0.2">
      <c r="A34" s="51" t="s">
        <v>118</v>
      </c>
      <c r="B34" s="52" t="s">
        <v>38</v>
      </c>
      <c r="C34" s="51">
        <v>45820.455999999998</v>
      </c>
      <c r="D34" s="51" t="s">
        <v>74</v>
      </c>
      <c r="E34" s="29">
        <f>+(C34-C$7)/C$8</f>
        <v>4672.031938133975</v>
      </c>
      <c r="F34" s="29">
        <f>ROUND(2*E34,0)/2</f>
        <v>4672</v>
      </c>
      <c r="H34" s="29"/>
      <c r="I34" s="29"/>
      <c r="J34" s="29"/>
      <c r="K34" s="29"/>
      <c r="L34" s="29"/>
      <c r="M34" s="29"/>
      <c r="O34" s="29">
        <f ca="1">+C$11+C$12*$F34</f>
        <v>-1.8697343641954647E-2</v>
      </c>
      <c r="P34" s="29"/>
      <c r="Q34" s="31">
        <f>+C34-15018.5</f>
        <v>30801.955999999998</v>
      </c>
      <c r="U34" s="29">
        <f>+C34-(C$7+F34*C$8)</f>
        <v>3.4622399994987063E-2</v>
      </c>
    </row>
    <row r="35" spans="1:21" x14ac:dyDescent="0.2">
      <c r="A35" s="51" t="s">
        <v>124</v>
      </c>
      <c r="B35" s="52" t="s">
        <v>38</v>
      </c>
      <c r="C35" s="51">
        <v>47266.506999999998</v>
      </c>
      <c r="D35" s="51" t="s">
        <v>74</v>
      </c>
      <c r="E35" s="29">
        <f>+(C35-C$7)/C$8</f>
        <v>6005.9709654333747</v>
      </c>
      <c r="F35" s="29">
        <f>ROUND(2*E35,0)/2</f>
        <v>6006</v>
      </c>
      <c r="G35" s="29">
        <f>+C35-(C$7+F35*C$8)</f>
        <v>-3.147480000188807E-2</v>
      </c>
      <c r="H35" s="29"/>
      <c r="I35" s="29"/>
      <c r="J35" s="29">
        <f>+G35</f>
        <v>-3.147480000188807E-2</v>
      </c>
      <c r="K35" s="29"/>
      <c r="L35" s="29"/>
      <c r="M35" s="29"/>
      <c r="O35" s="29">
        <f ca="1">+C$11+C$12*$F35</f>
        <v>-3.4459368315614455E-2</v>
      </c>
      <c r="P35" s="29"/>
      <c r="Q35" s="31">
        <f>+C35-15018.5</f>
        <v>32248.006999999998</v>
      </c>
    </row>
    <row r="36" spans="1:21" x14ac:dyDescent="0.2">
      <c r="A36" s="51" t="s">
        <v>128</v>
      </c>
      <c r="B36" s="52" t="s">
        <v>38</v>
      </c>
      <c r="C36" s="51">
        <v>47653.514300000003</v>
      </c>
      <c r="D36" s="51" t="s">
        <v>74</v>
      </c>
      <c r="E36" s="29">
        <f>+(C36-C$7)/C$8</f>
        <v>6362.9736861671345</v>
      </c>
      <c r="F36" s="29">
        <f>ROUND(2*E36,0)/2</f>
        <v>6363</v>
      </c>
      <c r="G36" s="29">
        <f>+C36-(C$7+F36*C$8)</f>
        <v>-2.8525399997306522E-2</v>
      </c>
      <c r="H36" s="29"/>
      <c r="I36" s="29"/>
      <c r="J36" s="29">
        <f>+G36</f>
        <v>-2.8525399997306522E-2</v>
      </c>
      <c r="K36" s="29"/>
      <c r="L36" s="29"/>
      <c r="M36" s="29"/>
      <c r="O36" s="29">
        <f ca="1">+C$11+C$12*$F36</f>
        <v>-3.8677541335476934E-2</v>
      </c>
      <c r="P36" s="29"/>
      <c r="Q36" s="31">
        <f>+C36-15018.5</f>
        <v>32635.014300000003</v>
      </c>
    </row>
    <row r="37" spans="1:21" x14ac:dyDescent="0.2">
      <c r="A37" s="51" t="s">
        <v>133</v>
      </c>
      <c r="B37" s="52" t="s">
        <v>38</v>
      </c>
      <c r="C37" s="51">
        <v>48014.499000000003</v>
      </c>
      <c r="D37" s="51" t="s">
        <v>74</v>
      </c>
      <c r="E37" s="29">
        <f>+(C37-C$7)/C$8</f>
        <v>6695.9713325765397</v>
      </c>
      <c r="F37" s="29">
        <f>ROUND(2*E37,0)/2</f>
        <v>6696</v>
      </c>
      <c r="G37" s="29">
        <f>+C37-(C$7+F37*C$8)</f>
        <v>-3.1076799998118076E-2</v>
      </c>
      <c r="H37" s="29"/>
      <c r="I37" s="29"/>
      <c r="J37" s="29">
        <f>+G37</f>
        <v>-3.1076799998118076E-2</v>
      </c>
      <c r="K37" s="29"/>
      <c r="L37" s="29"/>
      <c r="M37" s="29"/>
      <c r="O37" s="29">
        <f ca="1">+C$11+C$12*$F37</f>
        <v>-4.2612139698541926E-2</v>
      </c>
      <c r="P37" s="29"/>
      <c r="Q37" s="31">
        <f>+C37-15018.5</f>
        <v>32995.999000000003</v>
      </c>
    </row>
    <row r="38" spans="1:21" x14ac:dyDescent="0.2">
      <c r="A38" s="51" t="s">
        <v>138</v>
      </c>
      <c r="B38" s="52" t="s">
        <v>38</v>
      </c>
      <c r="C38" s="51">
        <v>48762.472500000003</v>
      </c>
      <c r="D38" s="51" t="s">
        <v>74</v>
      </c>
      <c r="E38" s="29">
        <f>+(C38-C$7)/C$8</f>
        <v>7385.9546340200768</v>
      </c>
      <c r="F38" s="29">
        <f>ROUND(2*E38,0)/2</f>
        <v>7386</v>
      </c>
      <c r="G38" s="29">
        <f>+C38-(C$7+F38*C$8)</f>
        <v>-4.9178799999936018E-2</v>
      </c>
      <c r="H38" s="29"/>
      <c r="I38" s="29"/>
      <c r="J38" s="29">
        <f>+G38</f>
        <v>-4.9178799999936018E-2</v>
      </c>
      <c r="K38" s="29"/>
      <c r="L38" s="29"/>
      <c r="M38" s="29"/>
      <c r="O38" s="29">
        <f ca="1">+C$11+C$12*$F38</f>
        <v>-5.076491108146941E-2</v>
      </c>
      <c r="P38" s="29"/>
      <c r="Q38" s="31">
        <f>+C38-15018.5</f>
        <v>33743.972500000003</v>
      </c>
    </row>
    <row r="39" spans="1:21" x14ac:dyDescent="0.2">
      <c r="A39" s="51" t="s">
        <v>138</v>
      </c>
      <c r="B39" s="52" t="s">
        <v>38</v>
      </c>
      <c r="C39" s="51">
        <v>48762.474399999999</v>
      </c>
      <c r="D39" s="51" t="s">
        <v>74</v>
      </c>
      <c r="E39" s="29">
        <f>+(C39-C$7)/C$8</f>
        <v>7385.9563867135475</v>
      </c>
      <c r="F39" s="29">
        <f>ROUND(2*E39,0)/2</f>
        <v>7386</v>
      </c>
      <c r="G39" s="29">
        <f>+C39-(C$7+F39*C$8)</f>
        <v>-4.727880000427831E-2</v>
      </c>
      <c r="H39" s="29"/>
      <c r="I39" s="29"/>
      <c r="J39" s="29">
        <f>+G39</f>
        <v>-4.727880000427831E-2</v>
      </c>
      <c r="K39" s="29"/>
      <c r="L39" s="29"/>
      <c r="M39" s="29"/>
      <c r="O39" s="29">
        <f ca="1">+C$11+C$12*$F39</f>
        <v>-5.076491108146941E-2</v>
      </c>
      <c r="P39" s="29"/>
      <c r="Q39" s="31">
        <f>+C39-15018.5</f>
        <v>33743.974399999999</v>
      </c>
    </row>
    <row r="40" spans="1:21" x14ac:dyDescent="0.2">
      <c r="A40" s="51" t="s">
        <v>146</v>
      </c>
      <c r="B40" s="52" t="s">
        <v>38</v>
      </c>
      <c r="C40" s="51">
        <v>49060.578300000001</v>
      </c>
      <c r="D40" s="51" t="s">
        <v>74</v>
      </c>
      <c r="E40" s="29">
        <f>+(C40-C$7)/C$8</f>
        <v>7660.9483658347262</v>
      </c>
      <c r="F40" s="29">
        <f>ROUND(2*E40,0)/2</f>
        <v>7661</v>
      </c>
      <c r="G40" s="29">
        <f>+C40-(C$7+F40*C$8)</f>
        <v>-5.5973800001083873E-2</v>
      </c>
      <c r="H40" s="29"/>
      <c r="I40" s="29"/>
      <c r="J40" s="29">
        <f>+G40</f>
        <v>-5.5973800001083873E-2</v>
      </c>
      <c r="K40" s="29"/>
      <c r="L40" s="29"/>
      <c r="M40" s="29"/>
      <c r="O40" s="29">
        <f ca="1">+C$11+C$12*$F40</f>
        <v>-5.4014204023940512E-2</v>
      </c>
      <c r="P40" s="29"/>
      <c r="Q40" s="31">
        <f>+C40-15018.5</f>
        <v>34042.078300000001</v>
      </c>
    </row>
    <row r="41" spans="1:21" x14ac:dyDescent="0.2">
      <c r="A41" s="51" t="s">
        <v>146</v>
      </c>
      <c r="B41" s="52" t="s">
        <v>38</v>
      </c>
      <c r="C41" s="51">
        <v>49060.584199999998</v>
      </c>
      <c r="D41" s="51" t="s">
        <v>74</v>
      </c>
      <c r="E41" s="29">
        <f>+(C41-C$7)/C$8</f>
        <v>7660.9538084091973</v>
      </c>
      <c r="F41" s="29">
        <f>ROUND(2*E41,0)/2</f>
        <v>7661</v>
      </c>
      <c r="G41" s="29">
        <f>+C41-(C$7+F41*C$8)</f>
        <v>-5.0073800004611257E-2</v>
      </c>
      <c r="H41" s="29"/>
      <c r="I41" s="29"/>
      <c r="J41" s="29">
        <f>+G41</f>
        <v>-5.0073800004611257E-2</v>
      </c>
      <c r="K41" s="29"/>
      <c r="L41" s="29"/>
      <c r="M41" s="29"/>
      <c r="O41" s="29">
        <f ca="1">+C$11+C$12*$F41</f>
        <v>-5.4014204023940512E-2</v>
      </c>
      <c r="P41" s="29"/>
      <c r="Q41" s="31">
        <f>+C41-15018.5</f>
        <v>34042.084199999998</v>
      </c>
    </row>
    <row r="42" spans="1:21" x14ac:dyDescent="0.2">
      <c r="A42" s="51" t="s">
        <v>153</v>
      </c>
      <c r="B42" s="52" t="s">
        <v>38</v>
      </c>
      <c r="C42" s="51">
        <v>49472.5069</v>
      </c>
      <c r="D42" s="51" t="s">
        <v>74</v>
      </c>
      <c r="E42" s="29">
        <f>+(C42-C$7)/C$8</f>
        <v>8040.9402444066463</v>
      </c>
      <c r="F42" s="29">
        <f>ROUND(2*E42,0)/2</f>
        <v>8041</v>
      </c>
      <c r="G42" s="29">
        <f>+C42-(C$7+F42*C$8)</f>
        <v>-6.4777800005686004E-2</v>
      </c>
      <c r="H42" s="29"/>
      <c r="I42" s="29"/>
      <c r="J42" s="29">
        <f>+G42</f>
        <v>-6.4777800005686004E-2</v>
      </c>
      <c r="K42" s="29"/>
      <c r="L42" s="29"/>
      <c r="M42" s="29"/>
      <c r="O42" s="29">
        <f ca="1">+C$11+C$12*$F42</f>
        <v>-5.8504136089900571E-2</v>
      </c>
      <c r="P42" s="29"/>
      <c r="Q42" s="31">
        <f>+C42-15018.5</f>
        <v>34454.0069</v>
      </c>
    </row>
    <row r="43" spans="1:21" x14ac:dyDescent="0.2">
      <c r="A43" s="51" t="s">
        <v>153</v>
      </c>
      <c r="B43" s="52" t="s">
        <v>38</v>
      </c>
      <c r="C43" s="51">
        <v>49472.510499999997</v>
      </c>
      <c r="D43" s="51" t="s">
        <v>74</v>
      </c>
      <c r="E43" s="29">
        <f>+(C43-C$7)/C$8</f>
        <v>8040.9435652995426</v>
      </c>
      <c r="F43" s="29">
        <f>ROUND(2*E43,0)/2</f>
        <v>8041</v>
      </c>
      <c r="G43" s="29">
        <f>+C43-(C$7+F43*C$8)</f>
        <v>-6.1177800009318162E-2</v>
      </c>
      <c r="H43" s="29"/>
      <c r="I43" s="29"/>
      <c r="J43" s="29">
        <f>+G43</f>
        <v>-6.1177800009318162E-2</v>
      </c>
      <c r="K43" s="29"/>
      <c r="L43" s="29"/>
      <c r="M43" s="29"/>
      <c r="O43" s="29">
        <f ca="1">+C$11+C$12*$F43</f>
        <v>-5.8504136089900571E-2</v>
      </c>
      <c r="P43" s="29"/>
      <c r="Q43" s="31">
        <f>+C43-15018.5</f>
        <v>34454.010499999997</v>
      </c>
    </row>
    <row r="44" spans="1:21" x14ac:dyDescent="0.2">
      <c r="A44" t="s">
        <v>35</v>
      </c>
      <c r="B44" s="3"/>
      <c r="C44" s="28">
        <v>49859.515599999999</v>
      </c>
      <c r="D44" s="28">
        <v>2E-3</v>
      </c>
      <c r="E44">
        <f>+(C44-C$7)/C$8</f>
        <v>8397.9442565987501</v>
      </c>
      <c r="F44">
        <f>ROUND(2*E44,0)/2</f>
        <v>8398</v>
      </c>
      <c r="G44">
        <f>+C44-(C$7+F44*C$8)</f>
        <v>-6.0428400000091642E-2</v>
      </c>
      <c r="I44">
        <f>+G44</f>
        <v>-6.0428400000091642E-2</v>
      </c>
      <c r="O44">
        <f ca="1">+C$11+C$12*$F44</f>
        <v>-6.272230910976305E-2</v>
      </c>
      <c r="Q44" s="2">
        <f>+C44-15018.5</f>
        <v>34841.015599999999</v>
      </c>
    </row>
    <row r="45" spans="1:21" s="29" customFormat="1" x14ac:dyDescent="0.2">
      <c r="A45" s="29" t="s">
        <v>36</v>
      </c>
      <c r="B45" s="30" t="s">
        <v>37</v>
      </c>
      <c r="C45" s="10">
        <v>51287.731200000002</v>
      </c>
      <c r="D45" s="10">
        <v>8.9999999999999998E-4</v>
      </c>
      <c r="E45" s="29">
        <f>+(C45-C$7)/C$8</f>
        <v>9715.4306580035645</v>
      </c>
      <c r="F45" s="29">
        <f>ROUND(2*E45,0)/2</f>
        <v>9715.5</v>
      </c>
      <c r="G45" s="29">
        <f>+C45-(C$7+F45*C$8)</f>
        <v>-7.5169900002947543E-2</v>
      </c>
      <c r="K45" s="29">
        <f>+G45</f>
        <v>-7.5169900002947543E-2</v>
      </c>
      <c r="O45" s="29">
        <f ca="1">+C$11+C$12*$F45</f>
        <v>-7.8289376206874581E-2</v>
      </c>
      <c r="Q45" s="31">
        <f>+C45-15018.5</f>
        <v>36269.231200000002</v>
      </c>
    </row>
    <row r="46" spans="1:21" s="29" customFormat="1" x14ac:dyDescent="0.2">
      <c r="A46" s="29" t="s">
        <v>36</v>
      </c>
      <c r="B46" s="30" t="s">
        <v>38</v>
      </c>
      <c r="C46" s="10">
        <v>51308.869200000001</v>
      </c>
      <c r="D46" s="10">
        <v>6.9999999999999999E-4</v>
      </c>
      <c r="E46" s="29">
        <f>+(C46-C$7)/C$8</f>
        <v>9734.9298341453832</v>
      </c>
      <c r="F46" s="29">
        <f>ROUND(2*E46,0)/2</f>
        <v>9735</v>
      </c>
      <c r="G46" s="29">
        <f>+C46-(C$7+F46*C$8)</f>
        <v>-7.6063000000431202E-2</v>
      </c>
      <c r="K46" s="29">
        <f>+G46</f>
        <v>-7.6063000000431202E-2</v>
      </c>
      <c r="O46" s="29">
        <f ca="1">+C$11+C$12*$F46</f>
        <v>-7.8519780615522533E-2</v>
      </c>
      <c r="Q46" s="31">
        <f>+C46-15018.5</f>
        <v>36290.369200000001</v>
      </c>
    </row>
    <row r="47" spans="1:21" s="29" customFormat="1" x14ac:dyDescent="0.2">
      <c r="A47" s="10" t="s">
        <v>39</v>
      </c>
      <c r="B47" s="32"/>
      <c r="C47" s="33">
        <v>51703.459300000002</v>
      </c>
      <c r="D47" s="33">
        <v>1E-3</v>
      </c>
      <c r="E47" s="29">
        <f>+(C47-C$7)/C$8</f>
        <v>10098.927462289877</v>
      </c>
      <c r="F47" s="29">
        <f>ROUND(2*E47,0)/2</f>
        <v>10099</v>
      </c>
      <c r="G47" s="29">
        <f>+C47-(C$7+F47*C$8)</f>
        <v>-7.8634199999214616E-2</v>
      </c>
      <c r="J47" s="29">
        <f>+G47</f>
        <v>-7.8634199999214616E-2</v>
      </c>
      <c r="O47" s="29">
        <f ca="1">+C$11+C$12*$F47</f>
        <v>-8.2820662910284282E-2</v>
      </c>
      <c r="Q47" s="31">
        <f>+C47-15018.5</f>
        <v>36684.959300000002</v>
      </c>
    </row>
    <row r="48" spans="1:21" s="29" customFormat="1" x14ac:dyDescent="0.2">
      <c r="A48" s="29" t="s">
        <v>40</v>
      </c>
      <c r="B48" s="30"/>
      <c r="C48" s="10">
        <v>52426.505899999996</v>
      </c>
      <c r="D48" s="10">
        <v>1.1000000000000001E-3</v>
      </c>
      <c r="E48" s="29">
        <f>+(C48-C$7)/C$8</f>
        <v>10765.916440061845</v>
      </c>
      <c r="F48" s="29">
        <f>ROUND(2*E48,0)/2</f>
        <v>10766</v>
      </c>
      <c r="G48" s="29">
        <f>+C48-(C$7+F48*C$8)</f>
        <v>-9.0582800003176089E-2</v>
      </c>
      <c r="J48" s="29">
        <f>+G48</f>
        <v>-9.0582800003176089E-2</v>
      </c>
      <c r="O48" s="29">
        <f ca="1">+C$11+C$12*$F48</f>
        <v>-9.0701675247114186E-2</v>
      </c>
      <c r="Q48" s="31">
        <f>+C48-15018.5</f>
        <v>37408.005899999996</v>
      </c>
    </row>
    <row r="49" spans="1:21" s="29" customFormat="1" x14ac:dyDescent="0.2">
      <c r="A49" s="34" t="s">
        <v>41</v>
      </c>
      <c r="B49" s="35"/>
      <c r="C49" s="10">
        <v>53408.626400000001</v>
      </c>
      <c r="D49" s="10">
        <v>4.7999999999999996E-3</v>
      </c>
      <c r="E49" s="29">
        <f>+(C49-C$7)/C$8</f>
        <v>11671.893383102448</v>
      </c>
      <c r="F49" s="29">
        <f>ROUND(2*E49,0)/2</f>
        <v>11672</v>
      </c>
      <c r="G49" s="29">
        <f>+C49-(C$7+F49*C$8)</f>
        <v>-0.1155776000014157</v>
      </c>
      <c r="J49" s="29">
        <f>+G49</f>
        <v>-0.1155776000014157</v>
      </c>
      <c r="O49" s="29">
        <f ca="1">+C$11+C$12*$F49</f>
        <v>-0.10140661854121895</v>
      </c>
      <c r="Q49" s="31">
        <f>+C49-15018.5</f>
        <v>38390.126400000001</v>
      </c>
    </row>
    <row r="50" spans="1:21" s="29" customFormat="1" x14ac:dyDescent="0.2">
      <c r="A50" s="34" t="s">
        <v>59</v>
      </c>
      <c r="B50" s="30" t="s">
        <v>38</v>
      </c>
      <c r="C50" s="10">
        <v>53589.6659</v>
      </c>
      <c r="D50" s="10">
        <v>5.9999999999999995E-4</v>
      </c>
      <c r="E50" s="29">
        <f>+(C50-C$7)/C$8</f>
        <v>11838.896935904366</v>
      </c>
      <c r="F50" s="29">
        <f>ROUND(2*E50,0)/2</f>
        <v>11839</v>
      </c>
      <c r="G50" s="29">
        <f>+C50-(C$7+F50*C$8)</f>
        <v>-0.11172620000434108</v>
      </c>
      <c r="J50"/>
      <c r="K50" s="29">
        <f>+G50</f>
        <v>-0.11172620000434108</v>
      </c>
      <c r="N50"/>
      <c r="O50" s="29">
        <f ca="1">+C$11+C$12*$F50</f>
        <v>-0.10337982552810142</v>
      </c>
      <c r="Q50" s="31">
        <f>+C50-15018.5</f>
        <v>38571.1659</v>
      </c>
      <c r="R50"/>
    </row>
    <row r="51" spans="1:21" s="29" customFormat="1" x14ac:dyDescent="0.2">
      <c r="A51" s="10" t="s">
        <v>48</v>
      </c>
      <c r="B51" s="32"/>
      <c r="C51" s="10">
        <v>54218.409500000002</v>
      </c>
      <c r="D51" s="10">
        <v>2.0999999999999999E-3</v>
      </c>
      <c r="E51" s="29">
        <f>+(C51-C$7)/C$8</f>
        <v>12418.894201702547</v>
      </c>
      <c r="F51" s="29">
        <f>ROUND(2*E51,0)/2</f>
        <v>12419</v>
      </c>
      <c r="G51" s="29">
        <f>+C51-(C$7+F51*C$8)</f>
        <v>-0.11469019999640295</v>
      </c>
      <c r="J51" s="29">
        <f>+G51</f>
        <v>-0.11469019999640295</v>
      </c>
      <c r="O51" s="29">
        <f ca="1">+C$11+C$12*$F51</f>
        <v>-0.11023287973404046</v>
      </c>
      <c r="Q51" s="31">
        <f>+C51-15018.5</f>
        <v>39199.909500000002</v>
      </c>
    </row>
    <row r="52" spans="1:21" s="29" customFormat="1" x14ac:dyDescent="0.2">
      <c r="A52" s="34" t="s">
        <v>59</v>
      </c>
      <c r="B52" s="30" t="s">
        <v>38</v>
      </c>
      <c r="C52" s="10">
        <v>54235.750200000002</v>
      </c>
      <c r="D52" s="10">
        <v>5.0000000000000001E-4</v>
      </c>
      <c r="E52" s="29">
        <f>+(C52-C$7)/C$8</f>
        <v>12434.890481564524</v>
      </c>
      <c r="F52" s="29">
        <f>ROUND(2*E52,0)/2</f>
        <v>12435</v>
      </c>
      <c r="G52" s="29">
        <f>+C52-(C$7+F52*C$8)</f>
        <v>-0.11872299999959068</v>
      </c>
      <c r="J52"/>
      <c r="K52" s="29">
        <f>+G52</f>
        <v>-0.11872299999959068</v>
      </c>
      <c r="N52"/>
      <c r="O52" s="29">
        <f ca="1">+C$11+C$12*$F52</f>
        <v>-0.11042192950523876</v>
      </c>
      <c r="Q52" s="31">
        <f>+C52-15018.5</f>
        <v>39217.250200000002</v>
      </c>
      <c r="R52"/>
    </row>
    <row r="53" spans="1:21" x14ac:dyDescent="0.2">
      <c r="A53" s="10" t="s">
        <v>48</v>
      </c>
      <c r="B53" s="32"/>
      <c r="C53" s="10">
        <v>54244.422400000003</v>
      </c>
      <c r="D53" s="10">
        <v>8.0000000000000004E-4</v>
      </c>
      <c r="E53" s="29">
        <f>+(C53-C$7)/C$8</f>
        <v>12442.890328065476</v>
      </c>
      <c r="F53" s="29">
        <f>ROUND(2*E53,0)/2</f>
        <v>12443</v>
      </c>
      <c r="G53" s="29">
        <f>+C53-(C$7+F53*C$8)</f>
        <v>-0.11888940000062576</v>
      </c>
      <c r="H53" s="29"/>
      <c r="I53" s="29"/>
      <c r="J53" s="29">
        <f>+G53</f>
        <v>-0.11888940000062576</v>
      </c>
      <c r="K53" s="29"/>
      <c r="L53" s="29"/>
      <c r="M53" s="29"/>
      <c r="N53" s="29"/>
      <c r="O53" s="29">
        <f ca="1">+C$11+C$12*$F53</f>
        <v>-0.11051645439083792</v>
      </c>
      <c r="P53" s="29"/>
      <c r="Q53" s="31">
        <f>+C53-15018.5</f>
        <v>39225.922400000003</v>
      </c>
      <c r="R53" s="29"/>
    </row>
    <row r="54" spans="1:21" x14ac:dyDescent="0.2">
      <c r="A54" s="34" t="s">
        <v>59</v>
      </c>
      <c r="B54" s="30" t="s">
        <v>38</v>
      </c>
      <c r="C54" s="10">
        <v>54261.772499999999</v>
      </c>
      <c r="D54" s="10">
        <v>2.9999999999999997E-4</v>
      </c>
      <c r="E54" s="29">
        <f>+(C54-C$7)/C$8</f>
        <v>12458.895279147797</v>
      </c>
      <c r="F54" s="29">
        <f>ROUND(2*E54,0)/2</f>
        <v>12459</v>
      </c>
      <c r="G54" s="29">
        <f>+C54-(C$7+F54*C$8)</f>
        <v>-0.11352220000117086</v>
      </c>
      <c r="H54" s="29"/>
      <c r="I54" s="29"/>
      <c r="K54" s="29">
        <f>+G54</f>
        <v>-0.11352220000117086</v>
      </c>
      <c r="L54" s="29"/>
      <c r="M54" s="29"/>
      <c r="O54" s="29">
        <f ca="1">+C$11+C$12*$F54</f>
        <v>-0.11070550416203624</v>
      </c>
      <c r="P54" s="29"/>
      <c r="Q54" s="31">
        <f>+C54-15018.5</f>
        <v>39243.272499999999</v>
      </c>
    </row>
    <row r="55" spans="1:21" x14ac:dyDescent="0.2">
      <c r="A55" s="34" t="s">
        <v>49</v>
      </c>
      <c r="B55" s="30" t="s">
        <v>38</v>
      </c>
      <c r="C55" s="10">
        <v>54296.451999999997</v>
      </c>
      <c r="D55" s="10"/>
      <c r="E55" s="29">
        <f>+(C55-C$7)/C$8</f>
        <v>12490.886086178274</v>
      </c>
      <c r="F55" s="29">
        <f>ROUND(2*E55,0)/2</f>
        <v>12491</v>
      </c>
      <c r="G55" s="29">
        <f>+C55-(C$7+F55*C$8)</f>
        <v>-0.12348780000320403</v>
      </c>
      <c r="H55" s="29"/>
      <c r="I55" s="29"/>
      <c r="J55" s="29">
        <f>+G55</f>
        <v>-0.12348780000320403</v>
      </c>
      <c r="K55" s="29"/>
      <c r="L55" s="29"/>
      <c r="M55" s="29"/>
      <c r="N55" s="29"/>
      <c r="O55" s="29">
        <f ca="1">+C$11+C$12*$F55</f>
        <v>-0.11108360370443289</v>
      </c>
      <c r="P55" s="29"/>
      <c r="Q55" s="31">
        <f>+C55-15018.5</f>
        <v>39277.951999999997</v>
      </c>
      <c r="R55" s="29"/>
    </row>
    <row r="56" spans="1:21" x14ac:dyDescent="0.2">
      <c r="A56" s="36" t="s">
        <v>54</v>
      </c>
      <c r="B56" s="37" t="s">
        <v>38</v>
      </c>
      <c r="C56" s="36">
        <v>54555.538500000002</v>
      </c>
      <c r="D56" s="36">
        <v>2.9999999999999997E-4</v>
      </c>
      <c r="E56" s="29">
        <f>+(C56-C$7)/C$8</f>
        <v>12729.885674572053</v>
      </c>
      <c r="F56" s="29">
        <f>ROUND(2*E56,0)/2</f>
        <v>12730</v>
      </c>
      <c r="G56" s="29">
        <f>+C56-(C$7+F56*C$8)</f>
        <v>-0.12393399999564281</v>
      </c>
      <c r="H56" s="29"/>
      <c r="I56" s="29"/>
      <c r="J56" s="29">
        <f>+G56</f>
        <v>-0.12393399999564281</v>
      </c>
      <c r="K56" s="29"/>
      <c r="L56" s="29"/>
      <c r="M56" s="29"/>
      <c r="O56" s="29">
        <f ca="1">+C$11+C$12*$F56</f>
        <v>-0.11390753466170776</v>
      </c>
      <c r="P56" s="29"/>
      <c r="Q56" s="31">
        <f>+C56-15018.5</f>
        <v>39537.038500000002</v>
      </c>
      <c r="R56" s="29"/>
    </row>
    <row r="57" spans="1:21" x14ac:dyDescent="0.2">
      <c r="A57" s="34" t="s">
        <v>59</v>
      </c>
      <c r="B57" s="30" t="s">
        <v>38</v>
      </c>
      <c r="C57" s="10">
        <v>54596.733800000002</v>
      </c>
      <c r="D57" s="10">
        <v>8.0000000000000004E-4</v>
      </c>
      <c r="E57" s="29">
        <f>+(C57-C$7)/C$8</f>
        <v>12767.887113256655</v>
      </c>
      <c r="F57" s="29">
        <f>ROUND(2*E57,0)/2</f>
        <v>12768</v>
      </c>
      <c r="G57" s="29">
        <f>+C57-(C$7+F57*C$8)</f>
        <v>-0.12237440000171773</v>
      </c>
      <c r="H57" s="29"/>
      <c r="I57" s="29"/>
      <c r="K57" s="29">
        <f>+G57</f>
        <v>-0.12237440000171773</v>
      </c>
      <c r="L57" s="29"/>
      <c r="M57" s="29"/>
      <c r="O57" s="29">
        <f ca="1">+C$11+C$12*$F57</f>
        <v>-0.11435652786830376</v>
      </c>
      <c r="P57" s="29"/>
      <c r="Q57" s="31">
        <f>+C57-15018.5</f>
        <v>39578.233800000002</v>
      </c>
    </row>
    <row r="58" spans="1:21" x14ac:dyDescent="0.2">
      <c r="A58" s="51" t="s">
        <v>235</v>
      </c>
      <c r="B58" s="52" t="s">
        <v>37</v>
      </c>
      <c r="C58" s="51">
        <v>54608.171600000001</v>
      </c>
      <c r="D58" s="51" t="s">
        <v>74</v>
      </c>
      <c r="E58" s="29">
        <f>+(C58-C$7)/C$8</f>
        <v>12778.438143480653</v>
      </c>
      <c r="F58" s="29">
        <f>ROUND(2*E58,0)/2</f>
        <v>12778.5</v>
      </c>
      <c r="H58" s="29"/>
      <c r="I58" s="29"/>
      <c r="K58" s="29">
        <f>+U58</f>
        <v>-6.7055300001811702E-2</v>
      </c>
      <c r="L58" s="29"/>
      <c r="M58" s="29"/>
      <c r="N58" s="29"/>
      <c r="O58" s="29">
        <f ca="1">+C$11+C$12*$F58</f>
        <v>-0.11448059178065266</v>
      </c>
      <c r="P58" s="29"/>
      <c r="Q58" s="31">
        <f>+C58-15018.5</f>
        <v>39589.671600000001</v>
      </c>
      <c r="U58" s="29">
        <f>+C58-(C$7+F58*C$8)</f>
        <v>-6.7055300001811702E-2</v>
      </c>
    </row>
    <row r="59" spans="1:21" x14ac:dyDescent="0.2">
      <c r="A59" s="36" t="s">
        <v>55</v>
      </c>
      <c r="B59" s="37" t="s">
        <v>38</v>
      </c>
      <c r="C59" s="36">
        <v>54941.4588</v>
      </c>
      <c r="D59" s="36">
        <v>8.9999999999999998E-4</v>
      </c>
      <c r="E59" s="29">
        <f>+(C59-C$7)/C$8</f>
        <v>13085.885670144193</v>
      </c>
      <c r="F59" s="29">
        <f>ROUND(2*E59,0)/2</f>
        <v>13086</v>
      </c>
      <c r="G59" s="29">
        <f>+C59-(C$7+F59*C$8)</f>
        <v>-0.12393880000308855</v>
      </c>
      <c r="H59" s="29"/>
      <c r="I59" s="29"/>
      <c r="J59" s="29">
        <f>+G59</f>
        <v>-0.12393880000308855</v>
      </c>
      <c r="K59" s="29"/>
      <c r="L59" s="29"/>
      <c r="M59" s="29"/>
      <c r="O59" s="29">
        <f ca="1">+C$11+C$12*$F59</f>
        <v>-0.11811389207087035</v>
      </c>
      <c r="P59" s="29"/>
      <c r="Q59" s="31">
        <f>+C59-15018.5</f>
        <v>39922.9588</v>
      </c>
      <c r="R59" s="29"/>
    </row>
    <row r="60" spans="1:21" x14ac:dyDescent="0.2">
      <c r="A60" s="36" t="s">
        <v>50</v>
      </c>
      <c r="B60" s="37" t="s">
        <v>38</v>
      </c>
      <c r="C60" s="36">
        <v>54945.794600000001</v>
      </c>
      <c r="D60" s="36">
        <v>1E-4</v>
      </c>
      <c r="E60" s="29">
        <f>+(C60-C$7)/C$8</f>
        <v>13089.885316653594</v>
      </c>
      <c r="F60" s="29">
        <f>ROUND(2*E60,0)/2</f>
        <v>13090</v>
      </c>
      <c r="G60" s="29">
        <f>+C60-(C$7+F60*C$8)</f>
        <v>-0.1243220000033034</v>
      </c>
      <c r="H60" s="29"/>
      <c r="I60" s="29"/>
      <c r="K60" s="29">
        <f>+G60</f>
        <v>-0.1243220000033034</v>
      </c>
      <c r="L60" s="29"/>
      <c r="M60" s="29"/>
      <c r="O60" s="29">
        <f ca="1">+C$11+C$12*$F60</f>
        <v>-0.11816115451366992</v>
      </c>
      <c r="P60" s="29"/>
      <c r="Q60" s="31">
        <f>+C60-15018.5</f>
        <v>39927.294600000001</v>
      </c>
      <c r="R60" s="29"/>
    </row>
    <row r="61" spans="1:21" x14ac:dyDescent="0.2">
      <c r="A61" s="34" t="s">
        <v>56</v>
      </c>
      <c r="B61" s="30" t="s">
        <v>38</v>
      </c>
      <c r="C61" s="10">
        <v>54945.796999999999</v>
      </c>
      <c r="D61" s="10">
        <v>2.0000000000000001E-4</v>
      </c>
      <c r="E61" s="29">
        <f>+(C61-C$7)/C$8</f>
        <v>13089.887530582191</v>
      </c>
      <c r="F61" s="29">
        <f>ROUND(2*E61,0)/2</f>
        <v>13090</v>
      </c>
      <c r="G61" s="29">
        <f>+C61-(C$7+F61*C$8)</f>
        <v>-0.12192200000572484</v>
      </c>
      <c r="H61" s="29"/>
      <c r="I61" s="29"/>
      <c r="K61" s="29">
        <f>+G61</f>
        <v>-0.12192200000572484</v>
      </c>
      <c r="L61" s="29"/>
      <c r="M61" s="29"/>
      <c r="O61" s="29">
        <f ca="1">+C$11+C$12*$F61</f>
        <v>-0.11816115451366992</v>
      </c>
      <c r="P61" s="29"/>
      <c r="Q61" s="31">
        <f>+C61-15018.5</f>
        <v>39927.296999999999</v>
      </c>
    </row>
    <row r="62" spans="1:21" x14ac:dyDescent="0.2">
      <c r="A62" s="51" t="s">
        <v>258</v>
      </c>
      <c r="B62" s="52" t="s">
        <v>38</v>
      </c>
      <c r="C62" s="51">
        <v>55340.386599999998</v>
      </c>
      <c r="D62" s="51" t="s">
        <v>74</v>
      </c>
      <c r="E62" s="29">
        <f>+(C62-C$7)/C$8</f>
        <v>13453.88469749156</v>
      </c>
      <c r="F62" s="29">
        <f>ROUND(2*E62,0)/2</f>
        <v>13454</v>
      </c>
      <c r="G62" s="29">
        <f>+C62-(C$7+F62*C$8)</f>
        <v>-0.12499320000642911</v>
      </c>
      <c r="H62" s="29"/>
      <c r="I62" s="29"/>
      <c r="K62" s="29">
        <f>+G62</f>
        <v>-0.12499320000642911</v>
      </c>
      <c r="L62" s="29"/>
      <c r="M62" s="29"/>
      <c r="N62" s="29"/>
      <c r="O62" s="29">
        <f ca="1">+C$11+C$12*$F62</f>
        <v>-0.12246203680843167</v>
      </c>
      <c r="P62" s="29"/>
      <c r="Q62" s="31">
        <f>+C62-15018.5</f>
        <v>40321.886599999998</v>
      </c>
    </row>
    <row r="63" spans="1:21" x14ac:dyDescent="0.2">
      <c r="A63" s="34" t="s">
        <v>53</v>
      </c>
      <c r="B63" s="30" t="s">
        <v>38</v>
      </c>
      <c r="C63" s="10">
        <v>55340.386659999996</v>
      </c>
      <c r="D63" s="10">
        <v>1.1000000000000001E-3</v>
      </c>
      <c r="E63" s="29">
        <f>+(C63-C$7)/C$8</f>
        <v>13453.884752839773</v>
      </c>
      <c r="F63" s="29">
        <f>ROUND(2*E63,0)/2</f>
        <v>13454</v>
      </c>
      <c r="G63" s="29">
        <f>+C63-(C$7+F63*C$8)</f>
        <v>-0.12493320000794483</v>
      </c>
      <c r="H63" s="29"/>
      <c r="I63" s="29"/>
      <c r="K63" s="29">
        <f>+G63</f>
        <v>-0.12493320000794483</v>
      </c>
      <c r="L63" s="29"/>
      <c r="M63" s="29"/>
      <c r="O63" s="29">
        <f ca="1">+C$11+C$12*$F63</f>
        <v>-0.12246203680843167</v>
      </c>
      <c r="P63" s="29"/>
      <c r="Q63" s="31">
        <f>+C63-15018.5</f>
        <v>40321.886659999996</v>
      </c>
    </row>
    <row r="64" spans="1:21" x14ac:dyDescent="0.2">
      <c r="A64" s="34" t="s">
        <v>57</v>
      </c>
      <c r="B64" s="30" t="s">
        <v>38</v>
      </c>
      <c r="C64" s="10">
        <v>55345.8105</v>
      </c>
      <c r="D64" s="10">
        <v>4.0000000000000002E-4</v>
      </c>
      <c r="E64" s="29">
        <f>+(C64-C$7)/C$8</f>
        <v>13458.888083879849</v>
      </c>
      <c r="F64" s="29">
        <f>ROUND(2*E64,0)/2</f>
        <v>13459</v>
      </c>
      <c r="G64" s="29">
        <f>+C64-(C$7+F64*C$8)</f>
        <v>-0.12132220000057714</v>
      </c>
      <c r="H64" s="29"/>
      <c r="I64" s="29"/>
      <c r="K64" s="29">
        <f>+G64</f>
        <v>-0.12132220000057714</v>
      </c>
      <c r="L64" s="29"/>
      <c r="M64" s="29"/>
      <c r="O64" s="29">
        <f ca="1">+C$11+C$12*$F64</f>
        <v>-0.12252111486193114</v>
      </c>
      <c r="P64" s="29"/>
      <c r="Q64" s="31">
        <f>+C64-15018.5</f>
        <v>40327.3105</v>
      </c>
    </row>
    <row r="65" spans="1:21" x14ac:dyDescent="0.2">
      <c r="A65" s="51" t="s">
        <v>258</v>
      </c>
      <c r="B65" s="52" t="s">
        <v>38</v>
      </c>
      <c r="C65" s="51">
        <v>55353.3966</v>
      </c>
      <c r="D65" s="51" t="s">
        <v>74</v>
      </c>
      <c r="E65" s="29">
        <f>+(C65-C$7)/C$8</f>
        <v>13465.886035442412</v>
      </c>
      <c r="F65" s="29">
        <f>ROUND(2*E65,0)/2</f>
        <v>13466</v>
      </c>
      <c r="G65" s="29">
        <f>+C65-(C$7+F65*C$8)</f>
        <v>-0.12354279999999562</v>
      </c>
      <c r="H65" s="29"/>
      <c r="I65" s="29"/>
      <c r="K65" s="29">
        <f>+G65</f>
        <v>-0.12354279999999562</v>
      </c>
      <c r="L65" s="29"/>
      <c r="M65" s="29"/>
      <c r="N65" s="29"/>
      <c r="O65" s="29">
        <f ca="1">+C$11+C$12*$F65</f>
        <v>-0.12260382413683042</v>
      </c>
      <c r="P65" s="29"/>
      <c r="Q65" s="31">
        <f>+C65-15018.5</f>
        <v>40334.8966</v>
      </c>
    </row>
    <row r="66" spans="1:21" x14ac:dyDescent="0.2">
      <c r="A66" s="34" t="s">
        <v>53</v>
      </c>
      <c r="B66" s="30" t="s">
        <v>38</v>
      </c>
      <c r="C66" s="10">
        <v>55353.396659999999</v>
      </c>
      <c r="D66" s="10">
        <v>2.5000000000000001E-3</v>
      </c>
      <c r="E66" s="29">
        <f>+(C66-C$7)/C$8</f>
        <v>13465.886090790626</v>
      </c>
      <c r="F66" s="29">
        <f>ROUND(2*E66,0)/2</f>
        <v>13466</v>
      </c>
      <c r="G66" s="29">
        <f>+C66-(C$7+F66*C$8)</f>
        <v>-0.12348280000151135</v>
      </c>
      <c r="H66" s="29"/>
      <c r="I66" s="29"/>
      <c r="K66" s="29">
        <f>+G66</f>
        <v>-0.12348280000151135</v>
      </c>
      <c r="L66" s="29"/>
      <c r="M66" s="29"/>
      <c r="O66" s="29">
        <f ca="1">+C$11+C$12*$F66</f>
        <v>-0.12260382413683042</v>
      </c>
      <c r="P66" s="29"/>
      <c r="Q66" s="31">
        <f>+C66-15018.5</f>
        <v>40334.896659999999</v>
      </c>
    </row>
    <row r="67" spans="1:21" x14ac:dyDescent="0.2">
      <c r="A67" s="34" t="s">
        <v>58</v>
      </c>
      <c r="B67" s="30" t="s">
        <v>38</v>
      </c>
      <c r="C67" s="10">
        <v>55752.318399999996</v>
      </c>
      <c r="D67" s="10">
        <v>1E-4</v>
      </c>
      <c r="E67" s="29">
        <f>+(C67-C$7)/C$8</f>
        <v>13833.879527968278</v>
      </c>
      <c r="F67" s="29">
        <f>ROUND(2*E67,0)/2</f>
        <v>13834</v>
      </c>
      <c r="G67" s="29">
        <f>+C67-(C$7+F67*C$8)</f>
        <v>-0.13059720000455854</v>
      </c>
      <c r="H67" s="29"/>
      <c r="I67" s="29"/>
      <c r="K67" s="29">
        <f>+G67</f>
        <v>-0.13059720000455854</v>
      </c>
      <c r="L67" s="29"/>
      <c r="M67" s="29"/>
      <c r="O67" s="29">
        <f ca="1">+C$11+C$12*$F67</f>
        <v>-0.12695196887439175</v>
      </c>
      <c r="P67" s="29"/>
      <c r="Q67" s="31">
        <f>+C67-15018.5</f>
        <v>40733.818399999996</v>
      </c>
    </row>
    <row r="68" spans="1:21" x14ac:dyDescent="0.2">
      <c r="A68" s="34" t="s">
        <v>61</v>
      </c>
      <c r="B68" s="30" t="s">
        <v>38</v>
      </c>
      <c r="C68" s="10">
        <v>55752.318399999996</v>
      </c>
      <c r="D68" s="10">
        <v>1E-4</v>
      </c>
      <c r="E68" s="29">
        <f>+(C68-C$7)/C$8</f>
        <v>13833.879527968278</v>
      </c>
      <c r="F68" s="29">
        <f>ROUND(2*E68,0)/2</f>
        <v>13834</v>
      </c>
      <c r="G68" s="29">
        <f>+C68-(C$7+F68*C$8)</f>
        <v>-0.13059720000455854</v>
      </c>
      <c r="H68" s="29"/>
      <c r="I68" s="29"/>
      <c r="K68" s="29">
        <f>+G68</f>
        <v>-0.13059720000455854</v>
      </c>
      <c r="L68" s="29"/>
      <c r="M68" s="29"/>
      <c r="O68" s="29">
        <f ca="1">+C$11+C$12*$F68</f>
        <v>-0.12695196887439175</v>
      </c>
      <c r="P68" s="29"/>
      <c r="Q68" s="31">
        <f>+C68-15018.5</f>
        <v>40733.818399999996</v>
      </c>
    </row>
    <row r="69" spans="1:21" x14ac:dyDescent="0.2">
      <c r="A69" s="34" t="s">
        <v>60</v>
      </c>
      <c r="B69" s="30" t="s">
        <v>38</v>
      </c>
      <c r="C69" s="10">
        <v>55752.31856</v>
      </c>
      <c r="D69" s="10">
        <v>3.5E-4</v>
      </c>
      <c r="E69" s="29">
        <f>+(C69-C$7)/C$8</f>
        <v>13833.879675563521</v>
      </c>
      <c r="F69" s="29">
        <f>ROUND(2*E69,0)/2</f>
        <v>13834</v>
      </c>
      <c r="G69" s="29">
        <f>+C69-(C$7+F69*C$8)</f>
        <v>-0.13043720000132453</v>
      </c>
      <c r="H69" s="29"/>
      <c r="I69" s="29"/>
      <c r="K69" s="29">
        <f>+G69</f>
        <v>-0.13043720000132453</v>
      </c>
      <c r="L69" s="29"/>
      <c r="M69" s="29"/>
      <c r="N69" s="29"/>
      <c r="O69" s="29">
        <f ca="1">+C$11+C$12*$F69</f>
        <v>-0.12695196887439175</v>
      </c>
      <c r="P69" s="29"/>
      <c r="Q69" s="31">
        <f>+C69-15018.5</f>
        <v>40733.81856</v>
      </c>
    </row>
    <row r="70" spans="1:21" x14ac:dyDescent="0.2">
      <c r="A70" s="34" t="s">
        <v>60</v>
      </c>
      <c r="B70" s="30" t="s">
        <v>38</v>
      </c>
      <c r="C70" s="10">
        <v>55778.343540000002</v>
      </c>
      <c r="D70" s="10">
        <v>3.3E-4</v>
      </c>
      <c r="E70" s="29">
        <f>+(C70-C$7)/C$8</f>
        <v>13857.886945367069</v>
      </c>
      <c r="F70" s="29">
        <f>ROUND(2*E70,0)/2</f>
        <v>13858</v>
      </c>
      <c r="G70" s="29">
        <f>+C70-(C$7+F70*C$8)</f>
        <v>-0.12255639999784762</v>
      </c>
      <c r="H70" s="29"/>
      <c r="I70" s="29"/>
      <c r="K70" s="29"/>
      <c r="L70" s="29"/>
      <c r="M70" s="29"/>
      <c r="N70" s="29"/>
      <c r="O70" s="29">
        <f ca="1">+C$11+C$12*$F70</f>
        <v>-0.12723554353118921</v>
      </c>
      <c r="P70" s="29"/>
      <c r="Q70" s="31">
        <f>+C70-15018.5</f>
        <v>40759.843540000002</v>
      </c>
    </row>
    <row r="71" spans="1:21" x14ac:dyDescent="0.2">
      <c r="A71" s="34" t="s">
        <v>58</v>
      </c>
      <c r="B71" s="30" t="s">
        <v>38</v>
      </c>
      <c r="C71" s="10">
        <v>55778.345000000001</v>
      </c>
      <c r="D71" s="10">
        <v>1E-4</v>
      </c>
      <c r="E71" s="29">
        <f>+(C71-C$7)/C$8</f>
        <v>13857.888292173633</v>
      </c>
      <c r="F71" s="29">
        <f>ROUND(2*E71,0)/2</f>
        <v>13858</v>
      </c>
      <c r="G71" s="29">
        <f>+C71-(C$7+F71*C$8)</f>
        <v>-0.12109639999835053</v>
      </c>
      <c r="H71" s="29"/>
      <c r="I71" s="29"/>
      <c r="K71" s="29">
        <f>+G71</f>
        <v>-0.12109639999835053</v>
      </c>
      <c r="L71" s="29"/>
      <c r="M71" s="29"/>
      <c r="O71" s="29">
        <f ca="1">+C$11+C$12*$F71</f>
        <v>-0.12723554353118921</v>
      </c>
      <c r="P71" s="29"/>
      <c r="Q71" s="31">
        <f>+C71-15018.5</f>
        <v>40759.845000000001</v>
      </c>
    </row>
    <row r="72" spans="1:21" x14ac:dyDescent="0.2">
      <c r="A72" s="34" t="s">
        <v>61</v>
      </c>
      <c r="B72" s="30" t="s">
        <v>38</v>
      </c>
      <c r="C72" s="10">
        <v>55778.345000000001</v>
      </c>
      <c r="D72" s="10">
        <v>1E-4</v>
      </c>
      <c r="E72" s="29">
        <f>+(C72-C$7)/C$8</f>
        <v>13857.888292173633</v>
      </c>
      <c r="F72" s="29">
        <f>ROUND(2*E72,0)/2</f>
        <v>13858</v>
      </c>
      <c r="G72" s="29">
        <f>+C72-(C$7+F72*C$8)</f>
        <v>-0.12109639999835053</v>
      </c>
      <c r="H72" s="29"/>
      <c r="I72" s="29"/>
      <c r="K72" s="29">
        <f>+G72</f>
        <v>-0.12109639999835053</v>
      </c>
      <c r="L72" s="29"/>
      <c r="M72" s="29"/>
      <c r="O72" s="29">
        <f ca="1">+C$11+C$12*$F72</f>
        <v>-0.12723554353118921</v>
      </c>
      <c r="P72" s="29"/>
      <c r="Q72" s="31">
        <f>+C72-15018.5</f>
        <v>40759.845000000001</v>
      </c>
    </row>
    <row r="73" spans="1:21" x14ac:dyDescent="0.2">
      <c r="A73" s="51" t="s">
        <v>313</v>
      </c>
      <c r="B73" s="52" t="s">
        <v>38</v>
      </c>
      <c r="C73" s="51">
        <v>56050.434300000001</v>
      </c>
      <c r="D73" s="51" t="s">
        <v>74</v>
      </c>
      <c r="E73" s="29">
        <f>+(C73-C$7)/C$8</f>
        <v>14108.882576732458</v>
      </c>
      <c r="F73" s="29">
        <f>ROUND(2*E73,0)/2</f>
        <v>14109</v>
      </c>
      <c r="G73" s="29">
        <f>+C73-(C$7+F73*C$8)</f>
        <v>-0.12729219999891939</v>
      </c>
      <c r="H73" s="29"/>
      <c r="I73" s="29"/>
      <c r="K73" s="29"/>
      <c r="L73" s="29"/>
      <c r="M73" s="29"/>
      <c r="O73" s="29">
        <f ca="1">+C$11+C$12*$F73</f>
        <v>-0.13020126181686281</v>
      </c>
      <c r="P73" s="29"/>
      <c r="Q73" s="31">
        <f>+C73-15018.5</f>
        <v>41031.934300000001</v>
      </c>
      <c r="R73" s="29"/>
    </row>
    <row r="74" spans="1:21" x14ac:dyDescent="0.2">
      <c r="A74" s="51" t="s">
        <v>313</v>
      </c>
      <c r="B74" s="52" t="s">
        <v>37</v>
      </c>
      <c r="C74" s="51">
        <v>56070.483999999997</v>
      </c>
      <c r="D74" s="51" t="s">
        <v>74</v>
      </c>
      <c r="E74" s="29">
        <f>+(C74-C$7)/C$8</f>
        <v>14127.377828501338</v>
      </c>
      <c r="F74" s="29">
        <f>ROUND(2*E74,0)/2</f>
        <v>14127.5</v>
      </c>
      <c r="G74" s="29">
        <f>+C74-(C$7+F74*C$8)</f>
        <v>-0.1324395000046934</v>
      </c>
      <c r="H74" s="29"/>
      <c r="I74" s="29"/>
      <c r="K74" s="29">
        <f>+G73</f>
        <v>-0.12729219999891939</v>
      </c>
      <c r="L74" s="29"/>
      <c r="M74" s="29"/>
      <c r="O74" s="29">
        <f ca="1">+C$11+C$12*$F74</f>
        <v>-0.13041985061481087</v>
      </c>
      <c r="P74" s="29"/>
      <c r="Q74" s="31">
        <f>+C74-15018.5</f>
        <v>41051.983999999997</v>
      </c>
      <c r="R74" s="29"/>
    </row>
    <row r="75" spans="1:21" x14ac:dyDescent="0.2">
      <c r="A75" s="67" t="s">
        <v>0</v>
      </c>
      <c r="B75" s="70" t="s">
        <v>38</v>
      </c>
      <c r="C75" s="67">
        <v>56807.097000000067</v>
      </c>
      <c r="D75" s="67" t="s">
        <v>145</v>
      </c>
      <c r="E75" s="29">
        <f>+(C75-C$7)/C$8</f>
        <v>14806.881406671255</v>
      </c>
      <c r="F75" s="29">
        <f>ROUND(2*E75,0)/2</f>
        <v>14807</v>
      </c>
      <c r="G75" s="29">
        <f>+C75-(C$7+F75*C$8)</f>
        <v>-0.1285605999364634</v>
      </c>
      <c r="H75" s="29"/>
      <c r="I75" s="29"/>
      <c r="K75" s="29">
        <f>+G75</f>
        <v>-0.1285605999364634</v>
      </c>
      <c r="L75" s="29"/>
      <c r="M75" s="29"/>
      <c r="N75" s="29"/>
      <c r="O75" s="29">
        <f ca="1">+C$11+C$12*$F75</f>
        <v>-0.13844855808538947</v>
      </c>
      <c r="P75" s="29"/>
      <c r="Q75" s="31">
        <f>+C75-15018.5</f>
        <v>41788.597000000067</v>
      </c>
    </row>
    <row r="76" spans="1:21" x14ac:dyDescent="0.2">
      <c r="A76" s="67" t="s">
        <v>0</v>
      </c>
      <c r="B76" s="70" t="s">
        <v>38</v>
      </c>
      <c r="C76" s="67">
        <v>56807.10999999987</v>
      </c>
      <c r="D76" s="67" t="s">
        <v>73</v>
      </c>
      <c r="E76" s="29">
        <f>+(C76-C$7)/C$8</f>
        <v>14806.893398784321</v>
      </c>
      <c r="F76" s="29">
        <f>ROUND(2*E76,0)/2</f>
        <v>14807</v>
      </c>
      <c r="G76" s="29">
        <f>+C76-(C$7+F76*C$8)</f>
        <v>-0.11556060013390379</v>
      </c>
      <c r="H76" s="29"/>
      <c r="I76" s="29"/>
      <c r="K76" s="29">
        <f>+G76</f>
        <v>-0.11556060013390379</v>
      </c>
      <c r="L76" s="29"/>
      <c r="M76" s="29"/>
      <c r="N76" s="29"/>
      <c r="O76" s="29">
        <f ca="1">+C$11+C$12*$F76</f>
        <v>-0.13844855808538947</v>
      </c>
      <c r="P76" s="29"/>
      <c r="Q76" s="31">
        <f>+C76-15018.5</f>
        <v>41788.60999999987</v>
      </c>
    </row>
    <row r="77" spans="1:21" x14ac:dyDescent="0.2">
      <c r="A77" s="67" t="s">
        <v>0</v>
      </c>
      <c r="B77" s="70" t="s">
        <v>38</v>
      </c>
      <c r="C77" s="67">
        <v>56807.10999999987</v>
      </c>
      <c r="D77" s="67" t="s">
        <v>296</v>
      </c>
      <c r="E77" s="29">
        <f>+(C77-C$7)/C$8</f>
        <v>14806.893398784321</v>
      </c>
      <c r="F77" s="29">
        <f>ROUND(2*E77,0)/2</f>
        <v>14807</v>
      </c>
      <c r="G77" s="29">
        <f>+C77-(C$7+F77*C$8)</f>
        <v>-0.11556060013390379</v>
      </c>
      <c r="H77" s="29"/>
      <c r="I77" s="29"/>
      <c r="K77" s="29">
        <f>+G77</f>
        <v>-0.11556060013390379</v>
      </c>
      <c r="L77" s="29"/>
      <c r="M77" s="29"/>
      <c r="N77" s="29"/>
      <c r="O77" s="29">
        <f ca="1">+C$11+C$12*$F77</f>
        <v>-0.13844855808538947</v>
      </c>
      <c r="P77" s="29"/>
      <c r="Q77" s="31">
        <f>+C77-15018.5</f>
        <v>41788.60999999987</v>
      </c>
    </row>
    <row r="78" spans="1:21" x14ac:dyDescent="0.2">
      <c r="A78" s="51" t="s">
        <v>292</v>
      </c>
      <c r="B78" s="52" t="s">
        <v>38</v>
      </c>
      <c r="C78" s="51">
        <v>56807.11</v>
      </c>
      <c r="D78" s="51" t="s">
        <v>74</v>
      </c>
      <c r="E78" s="29">
        <f>+(C78-C$7)/C$8</f>
        <v>14806.893398784441</v>
      </c>
      <c r="F78" s="29">
        <f>ROUND(2*E78,0)/2</f>
        <v>14807</v>
      </c>
      <c r="H78" s="29"/>
      <c r="I78" s="29"/>
      <c r="K78" s="29"/>
      <c r="L78" s="29"/>
      <c r="M78" s="29"/>
      <c r="N78" s="29"/>
      <c r="O78" s="29">
        <f ca="1">+C$11+C$12*$F78</f>
        <v>-0.13844855808538947</v>
      </c>
      <c r="P78" s="29"/>
      <c r="Q78" s="31">
        <f>+C78-15018.5</f>
        <v>41788.61</v>
      </c>
      <c r="U78" s="29">
        <f>+C78-(C$7+F78*C$8)</f>
        <v>-0.11556060000293655</v>
      </c>
    </row>
    <row r="79" spans="1:21" x14ac:dyDescent="0.2">
      <c r="A79" s="53" t="s">
        <v>63</v>
      </c>
      <c r="B79" s="54" t="s">
        <v>38</v>
      </c>
      <c r="C79" s="53">
        <v>56812.507799999999</v>
      </c>
      <c r="D79" s="53">
        <v>1.6999999999999999E-3</v>
      </c>
      <c r="E79" s="55">
        <f>+(C79-C$7)/C$8</f>
        <v>14811.872708699206</v>
      </c>
      <c r="F79" s="29">
        <f>ROUND(2*E79,0)/2</f>
        <v>14812</v>
      </c>
      <c r="G79" s="29">
        <f>+C79-(C$7+F79*C$8)</f>
        <v>-0.13798959999985527</v>
      </c>
      <c r="H79" s="29"/>
      <c r="I79" s="29"/>
      <c r="J79" s="29">
        <f>+G79</f>
        <v>-0.13798959999985527</v>
      </c>
      <c r="K79" s="29"/>
      <c r="L79" s="29"/>
      <c r="M79" s="29"/>
      <c r="O79" s="29">
        <f ca="1">+C$11+C$12*$F79</f>
        <v>-0.13850763613888895</v>
      </c>
      <c r="P79" s="29"/>
      <c r="Q79" s="31">
        <f>+C79-15018.5</f>
        <v>41794.007799999999</v>
      </c>
      <c r="R79" s="29"/>
    </row>
    <row r="80" spans="1:21" x14ac:dyDescent="0.2">
      <c r="A80" s="56" t="s">
        <v>62</v>
      </c>
      <c r="B80" s="57" t="s">
        <v>38</v>
      </c>
      <c r="C80" s="58">
        <v>56823.344100000002</v>
      </c>
      <c r="D80" s="58">
        <v>1E-4</v>
      </c>
      <c r="E80" s="55">
        <f>+(C80-C$7)/C$8</f>
        <v>14821.86887306791</v>
      </c>
      <c r="F80" s="29">
        <f>ROUND(2*E80,0)/2</f>
        <v>14822</v>
      </c>
      <c r="G80" s="29">
        <f>+C80-(C$7+F80*C$8)</f>
        <v>-0.14214759999595117</v>
      </c>
      <c r="H80" s="29"/>
      <c r="I80" s="29"/>
      <c r="K80" s="29">
        <f>+G80</f>
        <v>-0.14214759999595117</v>
      </c>
      <c r="L80" s="29"/>
      <c r="M80" s="29"/>
      <c r="O80" s="29">
        <f ca="1">+C$11+C$12*$F80</f>
        <v>-0.13862579224588789</v>
      </c>
      <c r="P80" s="29"/>
      <c r="Q80" s="31">
        <f>+C80-15018.5</f>
        <v>41804.844100000002</v>
      </c>
    </row>
    <row r="81" spans="1:18" x14ac:dyDescent="0.2">
      <c r="A81" s="59" t="s">
        <v>314</v>
      </c>
      <c r="C81" s="60">
        <v>57169.150733333372</v>
      </c>
      <c r="E81" s="55">
        <f>+(C81-C$7)/C$8</f>
        <v>15140.865204526755</v>
      </c>
      <c r="F81" s="29">
        <f>ROUND(2*E81,0)/2</f>
        <v>15141</v>
      </c>
      <c r="G81" s="29">
        <f>+C81-(C$7+F81*C$8)</f>
        <v>-0.14612446662795264</v>
      </c>
      <c r="H81" s="29"/>
      <c r="I81" s="29"/>
      <c r="K81" s="29">
        <f>+G81</f>
        <v>-0.14612446662795264</v>
      </c>
      <c r="L81" s="29"/>
      <c r="M81" s="29"/>
      <c r="N81" s="29"/>
      <c r="O81" s="29">
        <f ca="1">+C$11+C$12*$F81</f>
        <v>-0.14239497205915436</v>
      </c>
      <c r="P81" s="29"/>
      <c r="Q81" s="31">
        <f>+C81-15018.5</f>
        <v>42150.650733333372</v>
      </c>
    </row>
    <row r="82" spans="1:18" x14ac:dyDescent="0.2">
      <c r="A82" s="58" t="s">
        <v>312</v>
      </c>
      <c r="B82" s="57"/>
      <c r="C82" s="58">
        <v>57179.453500000003</v>
      </c>
      <c r="D82" s="58">
        <v>1.4E-3</v>
      </c>
      <c r="E82" s="55">
        <f>+(C82-C$7)/C$8</f>
        <v>15150.369200268107</v>
      </c>
      <c r="F82" s="29">
        <f>ROUND(2*E82,0)/2</f>
        <v>15150.5</v>
      </c>
      <c r="G82" s="29">
        <f>+C82-(C$7+F82*C$8)</f>
        <v>-0.1417929000017466</v>
      </c>
      <c r="H82" s="29"/>
      <c r="I82" s="29"/>
      <c r="J82" s="29">
        <f>+G82</f>
        <v>-0.1417929000017466</v>
      </c>
      <c r="K82" s="29"/>
      <c r="L82" s="29"/>
      <c r="M82" s="29"/>
      <c r="O82" s="29">
        <f ca="1">+C$11+C$12*$F82</f>
        <v>-0.14250722036080338</v>
      </c>
      <c r="P82" s="29"/>
      <c r="Q82" s="31">
        <f>+C82-15018.5</f>
        <v>42160.953500000003</v>
      </c>
      <c r="R82" s="29"/>
    </row>
    <row r="83" spans="1:18" x14ac:dyDescent="0.2">
      <c r="A83" s="61" t="s">
        <v>315</v>
      </c>
      <c r="B83" s="62" t="s">
        <v>38</v>
      </c>
      <c r="C83" s="63">
        <v>57537.7255</v>
      </c>
      <c r="D83" s="63">
        <v>2.9999999999999997E-4</v>
      </c>
      <c r="E83" s="29">
        <f>+(C83-C$7)/C$8</f>
        <v>15480.864461630679</v>
      </c>
      <c r="F83" s="29">
        <f>ROUND(2*E83,0)/2</f>
        <v>15481</v>
      </c>
      <c r="G83" s="29">
        <f>+C83-(C$7+F83*C$8)</f>
        <v>-0.14692980000108946</v>
      </c>
      <c r="H83" s="29"/>
      <c r="I83" s="29"/>
      <c r="K83" s="29">
        <f>+G83</f>
        <v>-0.14692980000108946</v>
      </c>
      <c r="L83" s="29"/>
      <c r="M83" s="29"/>
      <c r="N83" s="29"/>
      <c r="O83" s="29">
        <f ca="1">+C$11+C$12*$F83</f>
        <v>-0.14641227969711862</v>
      </c>
      <c r="P83" s="29"/>
      <c r="Q83" s="31">
        <f>+C83-15018.5</f>
        <v>42519.2255</v>
      </c>
    </row>
    <row r="84" spans="1:18" x14ac:dyDescent="0.2">
      <c r="A84" s="67" t="s">
        <v>1</v>
      </c>
      <c r="B84" s="68" t="s">
        <v>38</v>
      </c>
      <c r="C84" s="68">
        <v>57902.489800000003</v>
      </c>
      <c r="D84" s="68">
        <v>3.2000000000000002E-3</v>
      </c>
      <c r="E84" s="29">
        <f>+(C84-C$7)/C$8</f>
        <v>15817.348676596506</v>
      </c>
      <c r="F84" s="29">
        <f>ROUND(2*E84,0)/2</f>
        <v>15817.5</v>
      </c>
      <c r="G84" s="29">
        <f>+C84-(C$7+F84*C$8)</f>
        <v>-0.16404150000016671</v>
      </c>
      <c r="H84" s="29"/>
      <c r="I84" s="29"/>
      <c r="K84" s="29">
        <f>+G84</f>
        <v>-0.16404150000016671</v>
      </c>
      <c r="L84" s="29"/>
      <c r="M84" s="29"/>
      <c r="N84" s="29"/>
      <c r="O84" s="29">
        <f ca="1">+C$11+C$12*$F84</f>
        <v>-0.1503882326976333</v>
      </c>
      <c r="P84" s="29"/>
      <c r="Q84" s="31">
        <f>+C84-15018.5</f>
        <v>42883.989800000003</v>
      </c>
    </row>
    <row r="85" spans="1:18" x14ac:dyDescent="0.2">
      <c r="A85" s="64" t="s">
        <v>316</v>
      </c>
      <c r="B85" s="65" t="s">
        <v>38</v>
      </c>
      <c r="C85" s="66">
        <v>57910.633000000002</v>
      </c>
      <c r="D85" s="66">
        <v>5.0000000000000001E-4</v>
      </c>
      <c r="E85" s="29">
        <f>+(C85-C$7)/C$8</f>
        <v>15824.860536335273</v>
      </c>
      <c r="F85" s="29">
        <f>ROUND(2*E85,0)/2</f>
        <v>15825</v>
      </c>
      <c r="G85" s="29">
        <f>+C85-(C$7+F85*C$8)</f>
        <v>-0.15118499999516644</v>
      </c>
      <c r="H85" s="29"/>
      <c r="I85" s="29"/>
      <c r="K85" s="29">
        <f>+G85</f>
        <v>-0.15118499999516644</v>
      </c>
      <c r="L85" s="29"/>
      <c r="M85" s="29"/>
      <c r="N85" s="29"/>
      <c r="O85" s="29">
        <f ca="1">+C$11+C$12*$F85</f>
        <v>-0.1504768497778825</v>
      </c>
      <c r="P85" s="29"/>
      <c r="Q85" s="31">
        <f>+C85-15018.5</f>
        <v>42892.133000000002</v>
      </c>
    </row>
    <row r="86" spans="1:18" x14ac:dyDescent="0.2">
      <c r="A86" s="64" t="s">
        <v>316</v>
      </c>
      <c r="B86" s="65" t="s">
        <v>38</v>
      </c>
      <c r="C86" s="66">
        <v>57911.7163</v>
      </c>
      <c r="D86" s="66">
        <v>2.9999999999999997E-4</v>
      </c>
      <c r="E86" s="29">
        <f>+(C86-C$7)/C$8</f>
        <v>15825.859848356959</v>
      </c>
      <c r="F86" s="29">
        <f>ROUND(2*E86,0)/2</f>
        <v>15826</v>
      </c>
      <c r="G86" s="29">
        <f>+C86-(C$7+F86*C$8)</f>
        <v>-0.15193079999880865</v>
      </c>
      <c r="H86" s="29"/>
      <c r="I86" s="29"/>
      <c r="K86" s="29">
        <f>+G86</f>
        <v>-0.15193079999880865</v>
      </c>
      <c r="L86" s="29"/>
      <c r="M86" s="29"/>
      <c r="N86" s="29"/>
      <c r="O86" s="29">
        <f ca="1">+C$11+C$12*$F86</f>
        <v>-0.15048866538858235</v>
      </c>
      <c r="P86" s="29"/>
      <c r="Q86" s="31">
        <f>+C86-15018.5</f>
        <v>42893.2163</v>
      </c>
    </row>
    <row r="87" spans="1:18" x14ac:dyDescent="0.2">
      <c r="A87" s="64" t="s">
        <v>316</v>
      </c>
      <c r="B87" s="65" t="s">
        <v>38</v>
      </c>
      <c r="C87" s="66">
        <v>57923.639600000002</v>
      </c>
      <c r="D87" s="66">
        <v>2.0000000000000001E-4</v>
      </c>
      <c r="E87" s="29">
        <f>+(C87-C$7)/C$8</f>
        <v>15836.858737887274</v>
      </c>
      <c r="F87" s="29">
        <f>ROUND(2*E87,0)/2</f>
        <v>15837</v>
      </c>
      <c r="G87" s="29">
        <f>+C87-(C$7+F87*C$8)</f>
        <v>-0.15313460000470513</v>
      </c>
      <c r="H87" s="29"/>
      <c r="I87" s="29"/>
      <c r="K87" s="29">
        <f>+G87</f>
        <v>-0.15313460000470513</v>
      </c>
      <c r="L87" s="29"/>
      <c r="M87" s="29"/>
      <c r="N87" s="29"/>
      <c r="O87" s="29">
        <f ca="1">+C$11+C$12*$F87</f>
        <v>-0.15061863710628121</v>
      </c>
      <c r="P87" s="29"/>
      <c r="Q87" s="31">
        <f>+C87-15018.5</f>
        <v>42905.139600000002</v>
      </c>
    </row>
    <row r="88" spans="1:18" ht="12" customHeight="1" x14ac:dyDescent="0.2">
      <c r="A88" s="74" t="s">
        <v>318</v>
      </c>
      <c r="B88" s="75" t="s">
        <v>38</v>
      </c>
      <c r="C88" s="76">
        <v>58697.640099999997</v>
      </c>
      <c r="D88" s="77">
        <v>2.0000000000000001E-4</v>
      </c>
      <c r="E88" s="29">
        <f>+(C88-C$7)/C$8</f>
        <v>16550.851172524257</v>
      </c>
      <c r="F88" s="29">
        <f>ROUND(2*E88,0)/2</f>
        <v>16551</v>
      </c>
      <c r="G88" s="29">
        <f>+C88-(C$7+F88*C$8)</f>
        <v>-0.16133580000314396</v>
      </c>
      <c r="H88" s="29"/>
      <c r="I88" s="29"/>
      <c r="K88" s="29">
        <f>+G88</f>
        <v>-0.16133580000314396</v>
      </c>
      <c r="L88" s="29"/>
      <c r="M88" s="29"/>
      <c r="N88" s="29"/>
      <c r="O88" s="29">
        <f ca="1">+C$11+C$12*$F88</f>
        <v>-0.15905498314600619</v>
      </c>
      <c r="P88" s="29"/>
      <c r="Q88" s="31">
        <f>+C88-15018.5</f>
        <v>43679.140099999997</v>
      </c>
    </row>
    <row r="89" spans="1:18" ht="12" customHeight="1" x14ac:dyDescent="0.2">
      <c r="A89" s="77" t="s">
        <v>319</v>
      </c>
      <c r="B89" s="75" t="s">
        <v>38</v>
      </c>
      <c r="C89" s="76">
        <v>59024.494400000003</v>
      </c>
      <c r="D89" s="77">
        <v>4.0000000000000001E-3</v>
      </c>
      <c r="E89" s="29">
        <f>+(C89-C$7)/C$8</f>
        <v>16852.364540317394</v>
      </c>
      <c r="F89" s="29">
        <f>ROUND(2*E89,0)/2</f>
        <v>16852.5</v>
      </c>
      <c r="G89" s="29">
        <f>+C89-(C$7+F89*C$8)</f>
        <v>-0.1468444999991334</v>
      </c>
      <c r="H89" s="29"/>
      <c r="I89" s="29"/>
      <c r="K89" s="29">
        <f>+G89</f>
        <v>-0.1468444999991334</v>
      </c>
      <c r="L89" s="29"/>
      <c r="M89" s="29"/>
      <c r="N89" s="29"/>
      <c r="O89" s="29">
        <f ca="1">+C$11+C$12*$F89</f>
        <v>-0.1626173897720245</v>
      </c>
      <c r="P89" s="29"/>
      <c r="Q89" s="31">
        <f>+C89-15018.5</f>
        <v>44005.994400000003</v>
      </c>
    </row>
    <row r="90" spans="1:18" ht="12" customHeight="1" x14ac:dyDescent="0.2">
      <c r="A90" s="71" t="s">
        <v>317</v>
      </c>
      <c r="B90" s="72" t="s">
        <v>38</v>
      </c>
      <c r="C90" s="73">
        <v>59381.670400000003</v>
      </c>
      <c r="D90" s="73">
        <v>2.9999999999999997E-4</v>
      </c>
      <c r="E90" s="29">
        <f>+(C90-C$7)/C$8</f>
        <v>17181.848774286107</v>
      </c>
      <c r="F90" s="29">
        <f>ROUND(2*E90,0)/2</f>
        <v>17182</v>
      </c>
      <c r="G90" s="29">
        <f>+C90-(C$7+F90*C$8)</f>
        <v>-0.1639355999941472</v>
      </c>
      <c r="H90" s="29"/>
      <c r="I90" s="29"/>
      <c r="K90" s="29">
        <f>+G90</f>
        <v>-0.1639355999941472</v>
      </c>
      <c r="L90" s="29"/>
      <c r="M90" s="29"/>
      <c r="N90" s="29"/>
      <c r="O90" s="29">
        <f ca="1">+C$11+C$12*$F90</f>
        <v>-0.16651063349763989</v>
      </c>
      <c r="P90" s="29"/>
      <c r="Q90" s="31">
        <f>+C90-15018.5</f>
        <v>44363.170400000003</v>
      </c>
    </row>
    <row r="91" spans="1:18" ht="12" customHeight="1" x14ac:dyDescent="0.2">
      <c r="A91" s="77" t="s">
        <v>320</v>
      </c>
      <c r="B91" s="75" t="s">
        <v>38</v>
      </c>
      <c r="C91" s="76">
        <v>59730.732000000004</v>
      </c>
      <c r="D91" s="77">
        <v>2.9999999999999997E-4</v>
      </c>
      <c r="E91" s="29">
        <f>+(C91-C$7)/C$8</f>
        <v>17503.847715659249</v>
      </c>
      <c r="F91" s="29">
        <f>ROUND(2*E91,0)/2</f>
        <v>17504</v>
      </c>
      <c r="G91" s="29">
        <f>+C91-(C$7+F91*C$8)</f>
        <v>-0.16508320000139065</v>
      </c>
      <c r="H91" s="29"/>
      <c r="I91" s="29"/>
      <c r="K91" s="29">
        <f>+G91</f>
        <v>-0.16508320000139065</v>
      </c>
      <c r="L91" s="29"/>
      <c r="M91" s="29"/>
      <c r="N91" s="29"/>
      <c r="O91" s="29">
        <f ca="1">+C$11+C$12*$F91</f>
        <v>-0.17031526014300602</v>
      </c>
      <c r="P91" s="29"/>
      <c r="Q91" s="31">
        <f>+C91-15018.5</f>
        <v>44712.232000000004</v>
      </c>
    </row>
    <row r="92" spans="1:18" ht="12" customHeight="1" x14ac:dyDescent="0.2">
      <c r="A92" s="77" t="s">
        <v>320</v>
      </c>
      <c r="B92" s="75" t="s">
        <v>38</v>
      </c>
      <c r="C92" s="76">
        <v>59755.663699999997</v>
      </c>
      <c r="D92" s="77">
        <v>4.0000000000000002E-4</v>
      </c>
      <c r="E92" s="29">
        <f>+(C92-C$7)/C$8</f>
        <v>17526.846467188006</v>
      </c>
      <c r="F92" s="29">
        <f>ROUND(2*E92,0)/2</f>
        <v>17527</v>
      </c>
      <c r="G92" s="29">
        <f>+C92-(C$7+F92*C$8)</f>
        <v>-0.16643660000409</v>
      </c>
      <c r="H92" s="29"/>
      <c r="I92" s="29"/>
      <c r="K92" s="29">
        <f>+G92</f>
        <v>-0.16643660000409</v>
      </c>
      <c r="L92" s="29"/>
      <c r="M92" s="29"/>
      <c r="N92" s="29"/>
      <c r="O92" s="29">
        <f ca="1">+C$11+C$12*$F92</f>
        <v>-0.17058701918910363</v>
      </c>
      <c r="P92" s="29"/>
      <c r="Q92" s="31">
        <f>+C92-15018.5</f>
        <v>44737.163699999997</v>
      </c>
    </row>
    <row r="93" spans="1:18" ht="12" customHeight="1" x14ac:dyDescent="0.2"/>
  </sheetData>
  <sortState xmlns:xlrd2="http://schemas.microsoft.com/office/spreadsheetml/2017/richdata2" ref="A21:U92">
    <sortCondition ref="C21:C92"/>
  </sortState>
  <phoneticPr fontId="8" type="noConversion"/>
  <hyperlinks>
    <hyperlink ref="H282" r:id="rId1" display="http://vsolj.cetus-net.org/bulletin.html"/>
    <hyperlink ref="H275" r:id="rId2" display="http://vsolj.cetus-net.org/bulletin.html"/>
    <hyperlink ref="H64444" r:id="rId3" display="http://vsolj.cetus-net.org/bulletin.html"/>
    <hyperlink ref="H64437" r:id="rId4" display="https://www.aavso.org/ejaavso"/>
    <hyperlink ref="AP588" r:id="rId5" display="http://cdsbib.u-strasbg.fr/cgi-bin/cdsbib?1990RMxAA..21..381G"/>
    <hyperlink ref="AP592" r:id="rId6" display="http://cdsbib.u-strasbg.fr/cgi-bin/cdsbib?1990RMxAA..21..381G"/>
    <hyperlink ref="AP591" r:id="rId7" display="http://cdsbib.u-strasbg.fr/cgi-bin/cdsbib?1990RMxAA..21..381G"/>
    <hyperlink ref="AP572" r:id="rId8" display="http://cdsbib.u-strasbg.fr/cgi-bin/cdsbib?1990RMxAA..21..381G"/>
    <hyperlink ref="I64444" r:id="rId9" display="http://vsolj.cetus-net.org/bulletin.html"/>
    <hyperlink ref="AQ728" r:id="rId10" display="http://cdsbib.u-strasbg.fr/cgi-bin/cdsbib?1990RMxAA..21..381G"/>
    <hyperlink ref="AQ55494" r:id="rId11" display="http://cdsbib.u-strasbg.fr/cgi-bin/cdsbib?1990RMxAA..21..381G"/>
    <hyperlink ref="AQ729" r:id="rId12" display="http://cdsbib.u-strasbg.fr/cgi-bin/cdsbib?1990RMxAA..21..381G"/>
    <hyperlink ref="H64441" r:id="rId13" display="https://www.aavso.org/ejaavso"/>
    <hyperlink ref="H1614" r:id="rId14" display="http://vsolj.cetus-net.org/bulletin.html"/>
    <hyperlink ref="AP2858" r:id="rId15" display="http://cdsbib.u-strasbg.fr/cgi-bin/cdsbib?1990RMxAA..21..381G"/>
    <hyperlink ref="AP2861" r:id="rId16" display="http://cdsbib.u-strasbg.fr/cgi-bin/cdsbib?1990RMxAA..21..381G"/>
    <hyperlink ref="AP2859" r:id="rId17" display="http://cdsbib.u-strasbg.fr/cgi-bin/cdsbib?1990RMxAA..21..381G"/>
    <hyperlink ref="AP2843" r:id="rId18" display="http://cdsbib.u-strasbg.fr/cgi-bin/cdsbib?1990RMxAA..21..381G"/>
    <hyperlink ref="I1614" r:id="rId19" display="http://vsolj.cetus-net.org/bulletin.html"/>
    <hyperlink ref="AQ3072" r:id="rId20" display="http://cdsbib.u-strasbg.fr/cgi-bin/cdsbib?1990RMxAA..21..381G"/>
    <hyperlink ref="AQ65309" r:id="rId21" display="http://cdsbib.u-strasbg.fr/cgi-bin/cdsbib?1990RMxAA..21..381G"/>
    <hyperlink ref="AQ3076" r:id="rId22" display="http://cdsbib.u-strasbg.fr/cgi-bin/cdsbib?1990RMxAA..21..381G"/>
    <hyperlink ref="H64217" r:id="rId23" display="http://vsolj.cetus-net.org/bulletin.html"/>
    <hyperlink ref="H64210" r:id="rId24" display="https://www.aavso.org/ejaavso"/>
    <hyperlink ref="I64217" r:id="rId25" display="http://vsolj.cetus-net.org/bulletin.html"/>
    <hyperlink ref="AQ57868" r:id="rId26" display="http://cdsbib.u-strasbg.fr/cgi-bin/cdsbib?1990RMxAA..21..381G"/>
    <hyperlink ref="H64214" r:id="rId27" display="https://www.aavso.org/ejaavso"/>
    <hyperlink ref="AP5232" r:id="rId28" display="http://cdsbib.u-strasbg.fr/cgi-bin/cdsbib?1990RMxAA..21..381G"/>
    <hyperlink ref="AP5235" r:id="rId29" display="http://cdsbib.u-strasbg.fr/cgi-bin/cdsbib?1990RMxAA..21..381G"/>
    <hyperlink ref="AP5233" r:id="rId30" display="http://cdsbib.u-strasbg.fr/cgi-bin/cdsbib?1990RMxAA..21..381G"/>
    <hyperlink ref="AP5217" r:id="rId31" display="http://cdsbib.u-strasbg.fr/cgi-bin/cdsbib?1990RMxAA..21..381G"/>
    <hyperlink ref="AQ5446" r:id="rId32" display="http://cdsbib.u-strasbg.fr/cgi-bin/cdsbib?1990RMxAA..21..381G"/>
    <hyperlink ref="AQ5450" r:id="rId33" display="http://cdsbib.u-strasbg.fr/cgi-bin/cdsbib?1990RMxAA..21..381G"/>
    <hyperlink ref="AQ65130" r:id="rId34" display="http://cdsbib.u-strasbg.fr/cgi-bin/cdsbib?1990RMxAA..21..381G"/>
    <hyperlink ref="I2338" r:id="rId35" display="http://vsolj.cetus-net.org/bulletin.html"/>
    <hyperlink ref="H2338" r:id="rId36" display="http://vsolj.cetus-net.org/bulletin.html"/>
    <hyperlink ref="AQ255" r:id="rId37" display="http://cdsbib.u-strasbg.fr/cgi-bin/cdsbib?1990RMxAA..21..381G"/>
    <hyperlink ref="AQ254" r:id="rId38" display="http://cdsbib.u-strasbg.fr/cgi-bin/cdsbib?1990RMxAA..21..381G"/>
    <hyperlink ref="AP3508" r:id="rId39" display="http://cdsbib.u-strasbg.fr/cgi-bin/cdsbib?1990RMxAA..21..381G"/>
    <hyperlink ref="AP3526" r:id="rId40" display="http://cdsbib.u-strasbg.fr/cgi-bin/cdsbib?1990RMxAA..21..381G"/>
    <hyperlink ref="AP3527" r:id="rId41" display="http://cdsbib.u-strasbg.fr/cgi-bin/cdsbib?1990RMxAA..21..381G"/>
    <hyperlink ref="AP3523" r:id="rId42" display="http://cdsbib.u-strasbg.fr/cgi-bin/cdsbib?1990RMxAA..21..381G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8"/>
  <sheetViews>
    <sheetView topLeftCell="A18" workbookViewId="0">
      <selection activeCell="A33" sqref="A33:D63"/>
    </sheetView>
  </sheetViews>
  <sheetFormatPr defaultRowHeight="12.75" x14ac:dyDescent="0.2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64</v>
      </c>
      <c r="I1" s="39" t="s">
        <v>65</v>
      </c>
      <c r="J1" s="40" t="s">
        <v>66</v>
      </c>
    </row>
    <row r="2" spans="1:16" x14ac:dyDescent="0.2">
      <c r="I2" s="41" t="s">
        <v>67</v>
      </c>
      <c r="J2" s="42" t="s">
        <v>68</v>
      </c>
    </row>
    <row r="3" spans="1:16" x14ac:dyDescent="0.2">
      <c r="A3" s="43" t="s">
        <v>69</v>
      </c>
      <c r="I3" s="41" t="s">
        <v>70</v>
      </c>
      <c r="J3" s="42" t="s">
        <v>71</v>
      </c>
    </row>
    <row r="4" spans="1:16" x14ac:dyDescent="0.2">
      <c r="I4" s="41" t="s">
        <v>72</v>
      </c>
      <c r="J4" s="42" t="s">
        <v>71</v>
      </c>
    </row>
    <row r="5" spans="1:16" ht="13.5" thickBot="1" x14ac:dyDescent="0.25">
      <c r="I5" s="44" t="s">
        <v>73</v>
      </c>
      <c r="J5" s="45" t="s">
        <v>74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109 </v>
      </c>
      <c r="B11" s="3" t="str">
        <f t="shared" ref="B11:B42" si="1">IF(H11=INT(H11),"I","II")</f>
        <v>I</v>
      </c>
      <c r="C11" s="28">
        <f t="shared" ref="C11:C42" si="2">1*G11</f>
        <v>49859.515599999999</v>
      </c>
      <c r="D11" s="11" t="str">
        <f t="shared" ref="D11:D42" si="3">VLOOKUP(F11,I$1:J$5,2,FALSE)</f>
        <v>vis</v>
      </c>
      <c r="E11" s="46">
        <f>VLOOKUP(C11,Active!C$21:E$961,3,FALSE)</f>
        <v>8397.9442565987501</v>
      </c>
      <c r="F11" s="3" t="s">
        <v>73</v>
      </c>
      <c r="G11" s="11" t="str">
        <f t="shared" ref="G11:G42" si="4">MID(I11,3,LEN(I11)-3)</f>
        <v>49859.5156</v>
      </c>
      <c r="H11" s="28">
        <f t="shared" ref="H11:H42" si="5">1*K11</f>
        <v>8398</v>
      </c>
      <c r="I11" s="47" t="s">
        <v>157</v>
      </c>
      <c r="J11" s="48" t="s">
        <v>158</v>
      </c>
      <c r="K11" s="47">
        <v>8398</v>
      </c>
      <c r="L11" s="47" t="s">
        <v>159</v>
      </c>
      <c r="M11" s="48" t="s">
        <v>110</v>
      </c>
      <c r="N11" s="48" t="s">
        <v>145</v>
      </c>
      <c r="O11" s="49" t="s">
        <v>160</v>
      </c>
      <c r="P11" s="49" t="s">
        <v>161</v>
      </c>
    </row>
    <row r="12" spans="1:16" ht="12.75" customHeight="1" thickBot="1" x14ac:dyDescent="0.25">
      <c r="A12" s="28" t="str">
        <f t="shared" si="0"/>
        <v>IBVS 5027 </v>
      </c>
      <c r="B12" s="3" t="str">
        <f t="shared" si="1"/>
        <v>II</v>
      </c>
      <c r="C12" s="28">
        <f t="shared" si="2"/>
        <v>51287.731200000002</v>
      </c>
      <c r="D12" s="11" t="str">
        <f t="shared" si="3"/>
        <v>vis</v>
      </c>
      <c r="E12" s="46">
        <f>VLOOKUP(C12,Active!C$21:E$961,3,FALSE)</f>
        <v>9715.4306580035645</v>
      </c>
      <c r="F12" s="3" t="s">
        <v>73</v>
      </c>
      <c r="G12" s="11" t="str">
        <f t="shared" si="4"/>
        <v>51287.7312</v>
      </c>
      <c r="H12" s="28">
        <f t="shared" si="5"/>
        <v>9715.5</v>
      </c>
      <c r="I12" s="47" t="s">
        <v>162</v>
      </c>
      <c r="J12" s="48" t="s">
        <v>163</v>
      </c>
      <c r="K12" s="47">
        <v>9715.5</v>
      </c>
      <c r="L12" s="47" t="s">
        <v>164</v>
      </c>
      <c r="M12" s="48" t="s">
        <v>110</v>
      </c>
      <c r="N12" s="48" t="s">
        <v>111</v>
      </c>
      <c r="O12" s="49" t="s">
        <v>160</v>
      </c>
      <c r="P12" s="50" t="s">
        <v>165</v>
      </c>
    </row>
    <row r="13" spans="1:16" ht="12.75" customHeight="1" thickBot="1" x14ac:dyDescent="0.25">
      <c r="A13" s="28" t="str">
        <f t="shared" si="0"/>
        <v>IBVS 5027 </v>
      </c>
      <c r="B13" s="3" t="str">
        <f t="shared" si="1"/>
        <v>I</v>
      </c>
      <c r="C13" s="28">
        <f t="shared" si="2"/>
        <v>51308.869200000001</v>
      </c>
      <c r="D13" s="11" t="str">
        <f t="shared" si="3"/>
        <v>vis</v>
      </c>
      <c r="E13" s="46">
        <f>VLOOKUP(C13,Active!C$21:E$961,3,FALSE)</f>
        <v>9734.9298341453832</v>
      </c>
      <c r="F13" s="3" t="s">
        <v>73</v>
      </c>
      <c r="G13" s="11" t="str">
        <f t="shared" si="4"/>
        <v>51308.8692</v>
      </c>
      <c r="H13" s="28">
        <f t="shared" si="5"/>
        <v>9735</v>
      </c>
      <c r="I13" s="47" t="s">
        <v>166</v>
      </c>
      <c r="J13" s="48" t="s">
        <v>167</v>
      </c>
      <c r="K13" s="47">
        <v>9735</v>
      </c>
      <c r="L13" s="47" t="s">
        <v>168</v>
      </c>
      <c r="M13" s="48" t="s">
        <v>110</v>
      </c>
      <c r="N13" s="48" t="s">
        <v>111</v>
      </c>
      <c r="O13" s="49" t="s">
        <v>160</v>
      </c>
      <c r="P13" s="50" t="s">
        <v>165</v>
      </c>
    </row>
    <row r="14" spans="1:16" ht="12.75" customHeight="1" thickBot="1" x14ac:dyDescent="0.25">
      <c r="A14" s="28" t="str">
        <f t="shared" si="0"/>
        <v>BAVM 152 </v>
      </c>
      <c r="B14" s="3" t="str">
        <f t="shared" si="1"/>
        <v>I</v>
      </c>
      <c r="C14" s="28">
        <f t="shared" si="2"/>
        <v>51703.459300000002</v>
      </c>
      <c r="D14" s="11" t="str">
        <f t="shared" si="3"/>
        <v>vis</v>
      </c>
      <c r="E14" s="46">
        <f>VLOOKUP(C14,Active!C$21:E$961,3,FALSE)</f>
        <v>10098.927462289877</v>
      </c>
      <c r="F14" s="3" t="s">
        <v>73</v>
      </c>
      <c r="G14" s="11" t="str">
        <f t="shared" si="4"/>
        <v>51703.4593</v>
      </c>
      <c r="H14" s="28">
        <f t="shared" si="5"/>
        <v>10099</v>
      </c>
      <c r="I14" s="47" t="s">
        <v>169</v>
      </c>
      <c r="J14" s="48" t="s">
        <v>170</v>
      </c>
      <c r="K14" s="47">
        <v>10099</v>
      </c>
      <c r="L14" s="47" t="s">
        <v>171</v>
      </c>
      <c r="M14" s="48" t="s">
        <v>110</v>
      </c>
      <c r="N14" s="48" t="s">
        <v>172</v>
      </c>
      <c r="O14" s="49" t="s">
        <v>173</v>
      </c>
      <c r="P14" s="50" t="s">
        <v>174</v>
      </c>
    </row>
    <row r="15" spans="1:16" ht="12.75" customHeight="1" thickBot="1" x14ac:dyDescent="0.25">
      <c r="A15" s="28" t="str">
        <f t="shared" si="0"/>
        <v>BAVM 158 </v>
      </c>
      <c r="B15" s="3" t="str">
        <f t="shared" si="1"/>
        <v>I</v>
      </c>
      <c r="C15" s="28">
        <f t="shared" si="2"/>
        <v>52426.505899999996</v>
      </c>
      <c r="D15" s="11" t="str">
        <f t="shared" si="3"/>
        <v>vis</v>
      </c>
      <c r="E15" s="46">
        <f>VLOOKUP(C15,Active!C$21:E$961,3,FALSE)</f>
        <v>10765.916440061845</v>
      </c>
      <c r="F15" s="3" t="s">
        <v>73</v>
      </c>
      <c r="G15" s="11" t="str">
        <f t="shared" si="4"/>
        <v>52426.5059</v>
      </c>
      <c r="H15" s="28">
        <f t="shared" si="5"/>
        <v>10766</v>
      </c>
      <c r="I15" s="47" t="s">
        <v>175</v>
      </c>
      <c r="J15" s="48" t="s">
        <v>176</v>
      </c>
      <c r="K15" s="47" t="s">
        <v>177</v>
      </c>
      <c r="L15" s="47" t="s">
        <v>178</v>
      </c>
      <c r="M15" s="48" t="s">
        <v>110</v>
      </c>
      <c r="N15" s="48" t="s">
        <v>172</v>
      </c>
      <c r="O15" s="49" t="s">
        <v>123</v>
      </c>
      <c r="P15" s="50" t="s">
        <v>179</v>
      </c>
    </row>
    <row r="16" spans="1:16" ht="12.75" customHeight="1" thickBot="1" x14ac:dyDescent="0.25">
      <c r="A16" s="28" t="str">
        <f t="shared" si="0"/>
        <v>BAVM 178 </v>
      </c>
      <c r="B16" s="3" t="str">
        <f t="shared" si="1"/>
        <v>I</v>
      </c>
      <c r="C16" s="28">
        <f t="shared" si="2"/>
        <v>53408.626400000001</v>
      </c>
      <c r="D16" s="11" t="str">
        <f t="shared" si="3"/>
        <v>vis</v>
      </c>
      <c r="E16" s="46">
        <f>VLOOKUP(C16,Active!C$21:E$961,3,FALSE)</f>
        <v>11671.893383102448</v>
      </c>
      <c r="F16" s="3" t="s">
        <v>73</v>
      </c>
      <c r="G16" s="11" t="str">
        <f t="shared" si="4"/>
        <v>53408.6264</v>
      </c>
      <c r="H16" s="28">
        <f t="shared" si="5"/>
        <v>11672</v>
      </c>
      <c r="I16" s="47" t="s">
        <v>180</v>
      </c>
      <c r="J16" s="48" t="s">
        <v>181</v>
      </c>
      <c r="K16" s="47" t="s">
        <v>182</v>
      </c>
      <c r="L16" s="47" t="s">
        <v>183</v>
      </c>
      <c r="M16" s="48" t="s">
        <v>184</v>
      </c>
      <c r="N16" s="48" t="s">
        <v>185</v>
      </c>
      <c r="O16" s="49" t="s">
        <v>186</v>
      </c>
      <c r="P16" s="50" t="s">
        <v>187</v>
      </c>
    </row>
    <row r="17" spans="1:16" ht="12.75" customHeight="1" thickBot="1" x14ac:dyDescent="0.25">
      <c r="A17" s="28" t="str">
        <f t="shared" si="0"/>
        <v>JAAVSO 37(1);44 </v>
      </c>
      <c r="B17" s="3" t="str">
        <f t="shared" si="1"/>
        <v>I</v>
      </c>
      <c r="C17" s="28">
        <f t="shared" si="2"/>
        <v>53589.6659</v>
      </c>
      <c r="D17" s="11" t="str">
        <f t="shared" si="3"/>
        <v>vis</v>
      </c>
      <c r="E17" s="46">
        <f>VLOOKUP(C17,Active!C$21:E$961,3,FALSE)</f>
        <v>11838.896935904366</v>
      </c>
      <c r="F17" s="3" t="s">
        <v>73</v>
      </c>
      <c r="G17" s="11" t="str">
        <f t="shared" si="4"/>
        <v>53589.6659</v>
      </c>
      <c r="H17" s="28">
        <f t="shared" si="5"/>
        <v>11839</v>
      </c>
      <c r="I17" s="47" t="s">
        <v>188</v>
      </c>
      <c r="J17" s="48" t="s">
        <v>189</v>
      </c>
      <c r="K17" s="47" t="s">
        <v>190</v>
      </c>
      <c r="L17" s="47" t="s">
        <v>191</v>
      </c>
      <c r="M17" s="48" t="s">
        <v>184</v>
      </c>
      <c r="N17" s="48" t="s">
        <v>192</v>
      </c>
      <c r="O17" s="49" t="s">
        <v>193</v>
      </c>
      <c r="P17" s="50" t="s">
        <v>194</v>
      </c>
    </row>
    <row r="18" spans="1:16" ht="12.75" customHeight="1" thickBot="1" x14ac:dyDescent="0.25">
      <c r="A18" s="28" t="str">
        <f t="shared" si="0"/>
        <v>BAVM 186 </v>
      </c>
      <c r="B18" s="3" t="str">
        <f t="shared" si="1"/>
        <v>I</v>
      </c>
      <c r="C18" s="28">
        <f t="shared" si="2"/>
        <v>54218.409500000002</v>
      </c>
      <c r="D18" s="11" t="str">
        <f t="shared" si="3"/>
        <v>vis</v>
      </c>
      <c r="E18" s="46">
        <f>VLOOKUP(C18,Active!C$21:E$961,3,FALSE)</f>
        <v>12418.894201702547</v>
      </c>
      <c r="F18" s="3" t="s">
        <v>73</v>
      </c>
      <c r="G18" s="11" t="str">
        <f t="shared" si="4"/>
        <v>54218.4095</v>
      </c>
      <c r="H18" s="28">
        <f t="shared" si="5"/>
        <v>12419</v>
      </c>
      <c r="I18" s="47" t="s">
        <v>195</v>
      </c>
      <c r="J18" s="48" t="s">
        <v>196</v>
      </c>
      <c r="K18" s="47" t="s">
        <v>197</v>
      </c>
      <c r="L18" s="47" t="s">
        <v>198</v>
      </c>
      <c r="M18" s="48" t="s">
        <v>184</v>
      </c>
      <c r="N18" s="48" t="s">
        <v>185</v>
      </c>
      <c r="O18" s="49" t="s">
        <v>199</v>
      </c>
      <c r="P18" s="50" t="s">
        <v>200</v>
      </c>
    </row>
    <row r="19" spans="1:16" ht="12.75" customHeight="1" thickBot="1" x14ac:dyDescent="0.25">
      <c r="A19" s="28" t="str">
        <f t="shared" si="0"/>
        <v>JAAVSO 37(1);44 </v>
      </c>
      <c r="B19" s="3" t="str">
        <f t="shared" si="1"/>
        <v>I</v>
      </c>
      <c r="C19" s="28">
        <f t="shared" si="2"/>
        <v>54235.750200000002</v>
      </c>
      <c r="D19" s="11" t="str">
        <f t="shared" si="3"/>
        <v>vis</v>
      </c>
      <c r="E19" s="46">
        <f>VLOOKUP(C19,Active!C$21:E$961,3,FALSE)</f>
        <v>12434.890481564524</v>
      </c>
      <c r="F19" s="3" t="s">
        <v>73</v>
      </c>
      <c r="G19" s="11" t="str">
        <f t="shared" si="4"/>
        <v>54235.7502</v>
      </c>
      <c r="H19" s="28">
        <f t="shared" si="5"/>
        <v>12435</v>
      </c>
      <c r="I19" s="47" t="s">
        <v>201</v>
      </c>
      <c r="J19" s="48" t="s">
        <v>202</v>
      </c>
      <c r="K19" s="47" t="s">
        <v>203</v>
      </c>
      <c r="L19" s="47" t="s">
        <v>204</v>
      </c>
      <c r="M19" s="48" t="s">
        <v>184</v>
      </c>
      <c r="N19" s="48" t="s">
        <v>192</v>
      </c>
      <c r="O19" s="49" t="s">
        <v>205</v>
      </c>
      <c r="P19" s="50" t="s">
        <v>194</v>
      </c>
    </row>
    <row r="20" spans="1:16" ht="12.75" customHeight="1" thickBot="1" x14ac:dyDescent="0.25">
      <c r="A20" s="28" t="str">
        <f t="shared" si="0"/>
        <v>BAVM 186 </v>
      </c>
      <c r="B20" s="3" t="str">
        <f t="shared" si="1"/>
        <v>I</v>
      </c>
      <c r="C20" s="28">
        <f t="shared" si="2"/>
        <v>54244.422400000003</v>
      </c>
      <c r="D20" s="11" t="str">
        <f t="shared" si="3"/>
        <v>vis</v>
      </c>
      <c r="E20" s="46">
        <f>VLOOKUP(C20,Active!C$21:E$961,3,FALSE)</f>
        <v>12442.890328065476</v>
      </c>
      <c r="F20" s="3" t="s">
        <v>73</v>
      </c>
      <c r="G20" s="11" t="str">
        <f t="shared" si="4"/>
        <v>54244.4224</v>
      </c>
      <c r="H20" s="28">
        <f t="shared" si="5"/>
        <v>12443</v>
      </c>
      <c r="I20" s="47" t="s">
        <v>206</v>
      </c>
      <c r="J20" s="48" t="s">
        <v>207</v>
      </c>
      <c r="K20" s="47" t="s">
        <v>208</v>
      </c>
      <c r="L20" s="47" t="s">
        <v>209</v>
      </c>
      <c r="M20" s="48" t="s">
        <v>184</v>
      </c>
      <c r="N20" s="48" t="s">
        <v>172</v>
      </c>
      <c r="O20" s="49" t="s">
        <v>123</v>
      </c>
      <c r="P20" s="50" t="s">
        <v>200</v>
      </c>
    </row>
    <row r="21" spans="1:16" ht="12.75" customHeight="1" thickBot="1" x14ac:dyDescent="0.25">
      <c r="A21" s="28" t="str">
        <f t="shared" si="0"/>
        <v>JAAVSO 37(1);44 </v>
      </c>
      <c r="B21" s="3" t="str">
        <f t="shared" si="1"/>
        <v>I</v>
      </c>
      <c r="C21" s="28">
        <f t="shared" si="2"/>
        <v>54261.772499999999</v>
      </c>
      <c r="D21" s="11" t="str">
        <f t="shared" si="3"/>
        <v>vis</v>
      </c>
      <c r="E21" s="46">
        <f>VLOOKUP(C21,Active!C$21:E$961,3,FALSE)</f>
        <v>12458.895279147797</v>
      </c>
      <c r="F21" s="3" t="s">
        <v>73</v>
      </c>
      <c r="G21" s="11" t="str">
        <f t="shared" si="4"/>
        <v>54261.7725</v>
      </c>
      <c r="H21" s="28">
        <f t="shared" si="5"/>
        <v>12459</v>
      </c>
      <c r="I21" s="47" t="s">
        <v>210</v>
      </c>
      <c r="J21" s="48" t="s">
        <v>211</v>
      </c>
      <c r="K21" s="47" t="s">
        <v>212</v>
      </c>
      <c r="L21" s="47" t="s">
        <v>213</v>
      </c>
      <c r="M21" s="48" t="s">
        <v>184</v>
      </c>
      <c r="N21" s="48" t="s">
        <v>192</v>
      </c>
      <c r="O21" s="49" t="s">
        <v>193</v>
      </c>
      <c r="P21" s="50" t="s">
        <v>194</v>
      </c>
    </row>
    <row r="22" spans="1:16" ht="12.75" customHeight="1" thickBot="1" x14ac:dyDescent="0.25">
      <c r="A22" s="28" t="str">
        <f t="shared" si="0"/>
        <v>IBVS 5837 </v>
      </c>
      <c r="B22" s="3" t="str">
        <f t="shared" si="1"/>
        <v>I</v>
      </c>
      <c r="C22" s="28">
        <f t="shared" si="2"/>
        <v>54296.451999999997</v>
      </c>
      <c r="D22" s="11" t="str">
        <f t="shared" si="3"/>
        <v>vis</v>
      </c>
      <c r="E22" s="46">
        <f>VLOOKUP(C22,Active!C$21:E$961,3,FALSE)</f>
        <v>12490.886086178274</v>
      </c>
      <c r="F22" s="3" t="s">
        <v>73</v>
      </c>
      <c r="G22" s="11" t="str">
        <f t="shared" si="4"/>
        <v>54296.4520</v>
      </c>
      <c r="H22" s="28">
        <f t="shared" si="5"/>
        <v>12491</v>
      </c>
      <c r="I22" s="47" t="s">
        <v>214</v>
      </c>
      <c r="J22" s="48" t="s">
        <v>215</v>
      </c>
      <c r="K22" s="47" t="s">
        <v>216</v>
      </c>
      <c r="L22" s="47" t="s">
        <v>217</v>
      </c>
      <c r="M22" s="48" t="s">
        <v>184</v>
      </c>
      <c r="N22" s="48" t="s">
        <v>73</v>
      </c>
      <c r="O22" s="49" t="s">
        <v>160</v>
      </c>
      <c r="P22" s="50" t="s">
        <v>218</v>
      </c>
    </row>
    <row r="23" spans="1:16" ht="12.75" customHeight="1" thickBot="1" x14ac:dyDescent="0.25">
      <c r="A23" s="28" t="str">
        <f t="shared" si="0"/>
        <v>BAVM 209 </v>
      </c>
      <c r="B23" s="3" t="str">
        <f t="shared" si="1"/>
        <v>I</v>
      </c>
      <c r="C23" s="28">
        <f t="shared" si="2"/>
        <v>54555.538500000002</v>
      </c>
      <c r="D23" s="11" t="str">
        <f t="shared" si="3"/>
        <v>vis</v>
      </c>
      <c r="E23" s="46">
        <f>VLOOKUP(C23,Active!C$21:E$961,3,FALSE)</f>
        <v>12729.885674572053</v>
      </c>
      <c r="F23" s="3" t="s">
        <v>73</v>
      </c>
      <c r="G23" s="11" t="str">
        <f t="shared" si="4"/>
        <v>54555.5385</v>
      </c>
      <c r="H23" s="28">
        <f t="shared" si="5"/>
        <v>12730</v>
      </c>
      <c r="I23" s="47" t="s">
        <v>219</v>
      </c>
      <c r="J23" s="48" t="s">
        <v>220</v>
      </c>
      <c r="K23" s="47" t="s">
        <v>221</v>
      </c>
      <c r="L23" s="47" t="s">
        <v>222</v>
      </c>
      <c r="M23" s="48" t="s">
        <v>184</v>
      </c>
      <c r="N23" s="48" t="s">
        <v>172</v>
      </c>
      <c r="O23" s="49" t="s">
        <v>223</v>
      </c>
      <c r="P23" s="50" t="s">
        <v>224</v>
      </c>
    </row>
    <row r="24" spans="1:16" ht="12.75" customHeight="1" thickBot="1" x14ac:dyDescent="0.25">
      <c r="A24" s="28" t="str">
        <f t="shared" si="0"/>
        <v>JAAVSO 37(1);44 </v>
      </c>
      <c r="B24" s="3" t="str">
        <f t="shared" si="1"/>
        <v>I</v>
      </c>
      <c r="C24" s="28">
        <f t="shared" si="2"/>
        <v>54596.733800000002</v>
      </c>
      <c r="D24" s="11" t="str">
        <f t="shared" si="3"/>
        <v>vis</v>
      </c>
      <c r="E24" s="46">
        <f>VLOOKUP(C24,Active!C$21:E$961,3,FALSE)</f>
        <v>12767.887113256655</v>
      </c>
      <c r="F24" s="3" t="s">
        <v>73</v>
      </c>
      <c r="G24" s="11" t="str">
        <f t="shared" si="4"/>
        <v>54596.7338</v>
      </c>
      <c r="H24" s="28">
        <f t="shared" si="5"/>
        <v>12768</v>
      </c>
      <c r="I24" s="47" t="s">
        <v>225</v>
      </c>
      <c r="J24" s="48" t="s">
        <v>226</v>
      </c>
      <c r="K24" s="47" t="s">
        <v>227</v>
      </c>
      <c r="L24" s="47" t="s">
        <v>228</v>
      </c>
      <c r="M24" s="48" t="s">
        <v>184</v>
      </c>
      <c r="N24" s="48" t="s">
        <v>192</v>
      </c>
      <c r="O24" s="49" t="s">
        <v>205</v>
      </c>
      <c r="P24" s="50" t="s">
        <v>194</v>
      </c>
    </row>
    <row r="25" spans="1:16" ht="12.75" customHeight="1" thickBot="1" x14ac:dyDescent="0.25">
      <c r="A25" s="28" t="str">
        <f t="shared" si="0"/>
        <v>BAVM 214 </v>
      </c>
      <c r="B25" s="3" t="str">
        <f t="shared" si="1"/>
        <v>I</v>
      </c>
      <c r="C25" s="28">
        <f t="shared" si="2"/>
        <v>54941.4588</v>
      </c>
      <c r="D25" s="11" t="str">
        <f t="shared" si="3"/>
        <v>vis</v>
      </c>
      <c r="E25" s="46">
        <f>VLOOKUP(C25,Active!C$21:E$961,3,FALSE)</f>
        <v>13085.885670144193</v>
      </c>
      <c r="F25" s="3" t="s">
        <v>73</v>
      </c>
      <c r="G25" s="11" t="str">
        <f t="shared" si="4"/>
        <v>54941.4588</v>
      </c>
      <c r="H25" s="28">
        <f t="shared" si="5"/>
        <v>13086</v>
      </c>
      <c r="I25" s="47" t="s">
        <v>236</v>
      </c>
      <c r="J25" s="48" t="s">
        <v>237</v>
      </c>
      <c r="K25" s="47" t="s">
        <v>238</v>
      </c>
      <c r="L25" s="47" t="s">
        <v>222</v>
      </c>
      <c r="M25" s="48" t="s">
        <v>184</v>
      </c>
      <c r="N25" s="48" t="s">
        <v>239</v>
      </c>
      <c r="O25" s="49" t="s">
        <v>240</v>
      </c>
      <c r="P25" s="50" t="s">
        <v>241</v>
      </c>
    </row>
    <row r="26" spans="1:16" ht="12.75" customHeight="1" thickBot="1" x14ac:dyDescent="0.25">
      <c r="A26" s="28" t="str">
        <f t="shared" si="0"/>
        <v>IBVS 5938 </v>
      </c>
      <c r="B26" s="3" t="str">
        <f t="shared" si="1"/>
        <v>I</v>
      </c>
      <c r="C26" s="28">
        <f t="shared" si="2"/>
        <v>54945.794600000001</v>
      </c>
      <c r="D26" s="11" t="str">
        <f t="shared" si="3"/>
        <v>vis</v>
      </c>
      <c r="E26" s="46">
        <f>VLOOKUP(C26,Active!C$21:E$961,3,FALSE)</f>
        <v>13089.885316653594</v>
      </c>
      <c r="F26" s="3" t="s">
        <v>73</v>
      </c>
      <c r="G26" s="11" t="str">
        <f t="shared" si="4"/>
        <v>54945.7946</v>
      </c>
      <c r="H26" s="28">
        <f t="shared" si="5"/>
        <v>13090</v>
      </c>
      <c r="I26" s="47" t="s">
        <v>242</v>
      </c>
      <c r="J26" s="48" t="s">
        <v>243</v>
      </c>
      <c r="K26" s="47" t="s">
        <v>244</v>
      </c>
      <c r="L26" s="47" t="s">
        <v>245</v>
      </c>
      <c r="M26" s="48" t="s">
        <v>184</v>
      </c>
      <c r="N26" s="48" t="s">
        <v>73</v>
      </c>
      <c r="O26" s="49" t="s">
        <v>246</v>
      </c>
      <c r="P26" s="50" t="s">
        <v>247</v>
      </c>
    </row>
    <row r="27" spans="1:16" ht="12.75" customHeight="1" thickBot="1" x14ac:dyDescent="0.25">
      <c r="A27" s="28" t="str">
        <f t="shared" si="0"/>
        <v> JAAVSO 38;85 </v>
      </c>
      <c r="B27" s="3" t="str">
        <f t="shared" si="1"/>
        <v>I</v>
      </c>
      <c r="C27" s="28">
        <f t="shared" si="2"/>
        <v>54945.796999999999</v>
      </c>
      <c r="D27" s="11" t="str">
        <f t="shared" si="3"/>
        <v>vis</v>
      </c>
      <c r="E27" s="46">
        <f>VLOOKUP(C27,Active!C$21:E$961,3,FALSE)</f>
        <v>13089.887530582191</v>
      </c>
      <c r="F27" s="3" t="s">
        <v>73</v>
      </c>
      <c r="G27" s="11" t="str">
        <f t="shared" si="4"/>
        <v>54945.7970</v>
      </c>
      <c r="H27" s="28">
        <f t="shared" si="5"/>
        <v>13090</v>
      </c>
      <c r="I27" s="47" t="s">
        <v>248</v>
      </c>
      <c r="J27" s="48" t="s">
        <v>249</v>
      </c>
      <c r="K27" s="47" t="s">
        <v>244</v>
      </c>
      <c r="L27" s="47" t="s">
        <v>250</v>
      </c>
      <c r="M27" s="48" t="s">
        <v>184</v>
      </c>
      <c r="N27" s="48" t="s">
        <v>192</v>
      </c>
      <c r="O27" s="49" t="s">
        <v>251</v>
      </c>
      <c r="P27" s="49" t="s">
        <v>252</v>
      </c>
    </row>
    <row r="28" spans="1:16" ht="12.75" customHeight="1" thickBot="1" x14ac:dyDescent="0.25">
      <c r="A28" s="28" t="str">
        <f t="shared" si="0"/>
        <v> JAAVSO 39;94 </v>
      </c>
      <c r="B28" s="3" t="str">
        <f t="shared" si="1"/>
        <v>I</v>
      </c>
      <c r="C28" s="28">
        <f t="shared" si="2"/>
        <v>55345.8105</v>
      </c>
      <c r="D28" s="11" t="str">
        <f t="shared" si="3"/>
        <v>vis</v>
      </c>
      <c r="E28" s="46">
        <f>VLOOKUP(C28,Active!C$21:E$961,3,FALSE)</f>
        <v>13458.888083879849</v>
      </c>
      <c r="F28" s="3" t="s">
        <v>73</v>
      </c>
      <c r="G28" s="11" t="str">
        <f t="shared" si="4"/>
        <v>55345.8105</v>
      </c>
      <c r="H28" s="28">
        <f t="shared" si="5"/>
        <v>13459</v>
      </c>
      <c r="I28" s="47" t="s">
        <v>259</v>
      </c>
      <c r="J28" s="48" t="s">
        <v>260</v>
      </c>
      <c r="K28" s="47" t="s">
        <v>261</v>
      </c>
      <c r="L28" s="47" t="s">
        <v>262</v>
      </c>
      <c r="M28" s="48" t="s">
        <v>184</v>
      </c>
      <c r="N28" s="48" t="s">
        <v>192</v>
      </c>
      <c r="O28" s="49" t="s">
        <v>263</v>
      </c>
      <c r="P28" s="49" t="s">
        <v>264</v>
      </c>
    </row>
    <row r="29" spans="1:16" ht="12.75" customHeight="1" thickBot="1" x14ac:dyDescent="0.25">
      <c r="A29" s="28" t="str">
        <f t="shared" si="0"/>
        <v> JAAVSO 40;975 </v>
      </c>
      <c r="B29" s="3" t="str">
        <f t="shared" si="1"/>
        <v>I</v>
      </c>
      <c r="C29" s="28">
        <f t="shared" si="2"/>
        <v>55752.318399999996</v>
      </c>
      <c r="D29" s="11" t="str">
        <f t="shared" si="3"/>
        <v>vis</v>
      </c>
      <c r="E29" s="46">
        <f>VLOOKUP(C29,Active!C$21:E$961,3,FALSE)</f>
        <v>13833.879527968278</v>
      </c>
      <c r="F29" s="3" t="s">
        <v>73</v>
      </c>
      <c r="G29" s="11" t="str">
        <f t="shared" si="4"/>
        <v>55752.3184</v>
      </c>
      <c r="H29" s="28">
        <f t="shared" si="5"/>
        <v>13834</v>
      </c>
      <c r="I29" s="47" t="s">
        <v>268</v>
      </c>
      <c r="J29" s="48" t="s">
        <v>269</v>
      </c>
      <c r="K29" s="47" t="s">
        <v>270</v>
      </c>
      <c r="L29" s="47" t="s">
        <v>271</v>
      </c>
      <c r="M29" s="48" t="s">
        <v>184</v>
      </c>
      <c r="N29" s="48" t="s">
        <v>65</v>
      </c>
      <c r="O29" s="49" t="s">
        <v>272</v>
      </c>
      <c r="P29" s="49" t="s">
        <v>273</v>
      </c>
    </row>
    <row r="30" spans="1:16" ht="12.75" customHeight="1" thickBot="1" x14ac:dyDescent="0.25">
      <c r="A30" s="28" t="str">
        <f t="shared" si="0"/>
        <v> JAAVSO 40;975 </v>
      </c>
      <c r="B30" s="3" t="str">
        <f t="shared" si="1"/>
        <v>I</v>
      </c>
      <c r="C30" s="28">
        <f t="shared" si="2"/>
        <v>55778.345000000001</v>
      </c>
      <c r="D30" s="11" t="str">
        <f t="shared" si="3"/>
        <v>vis</v>
      </c>
      <c r="E30" s="46">
        <f>VLOOKUP(C30,Active!C$21:E$961,3,FALSE)</f>
        <v>13857.888292173633</v>
      </c>
      <c r="F30" s="3" t="s">
        <v>73</v>
      </c>
      <c r="G30" s="11" t="str">
        <f t="shared" si="4"/>
        <v>55778.3450</v>
      </c>
      <c r="H30" s="28">
        <f t="shared" si="5"/>
        <v>13858</v>
      </c>
      <c r="I30" s="47" t="s">
        <v>274</v>
      </c>
      <c r="J30" s="48" t="s">
        <v>275</v>
      </c>
      <c r="K30" s="47" t="s">
        <v>276</v>
      </c>
      <c r="L30" s="47" t="s">
        <v>277</v>
      </c>
      <c r="M30" s="48" t="s">
        <v>184</v>
      </c>
      <c r="N30" s="48" t="s">
        <v>65</v>
      </c>
      <c r="O30" s="49" t="s">
        <v>272</v>
      </c>
      <c r="P30" s="49" t="s">
        <v>273</v>
      </c>
    </row>
    <row r="31" spans="1:16" ht="12.75" customHeight="1" thickBot="1" x14ac:dyDescent="0.25">
      <c r="A31" s="28" t="str">
        <f t="shared" si="0"/>
        <v>BAVM 238 </v>
      </c>
      <c r="B31" s="3" t="str">
        <f t="shared" si="1"/>
        <v>I</v>
      </c>
      <c r="C31" s="28">
        <f t="shared" si="2"/>
        <v>56812.507799999999</v>
      </c>
      <c r="D31" s="11" t="str">
        <f t="shared" si="3"/>
        <v>vis</v>
      </c>
      <c r="E31" s="46">
        <f>VLOOKUP(C31,Active!C$21:E$961,3,FALSE)</f>
        <v>14811.872708699206</v>
      </c>
      <c r="F31" s="3" t="s">
        <v>73</v>
      </c>
      <c r="G31" s="11" t="str">
        <f t="shared" si="4"/>
        <v>56812.5078</v>
      </c>
      <c r="H31" s="28">
        <f t="shared" si="5"/>
        <v>14812</v>
      </c>
      <c r="I31" s="47" t="s">
        <v>297</v>
      </c>
      <c r="J31" s="48" t="s">
        <v>298</v>
      </c>
      <c r="K31" s="47" t="s">
        <v>299</v>
      </c>
      <c r="L31" s="47" t="s">
        <v>300</v>
      </c>
      <c r="M31" s="48" t="s">
        <v>184</v>
      </c>
      <c r="N31" s="48" t="s">
        <v>172</v>
      </c>
      <c r="O31" s="49" t="s">
        <v>123</v>
      </c>
      <c r="P31" s="50" t="s">
        <v>301</v>
      </c>
    </row>
    <row r="32" spans="1:16" ht="12.75" customHeight="1" thickBot="1" x14ac:dyDescent="0.25">
      <c r="A32" s="28" t="str">
        <f t="shared" si="0"/>
        <v> JAAVSO 42;426 </v>
      </c>
      <c r="B32" s="3" t="str">
        <f t="shared" si="1"/>
        <v>I</v>
      </c>
      <c r="C32" s="28">
        <f t="shared" si="2"/>
        <v>56823.344100000002</v>
      </c>
      <c r="D32" s="11" t="str">
        <f t="shared" si="3"/>
        <v>vis</v>
      </c>
      <c r="E32" s="46">
        <f>VLOOKUP(C32,Active!C$21:E$961,3,FALSE)</f>
        <v>14821.86887306791</v>
      </c>
      <c r="F32" s="3" t="s">
        <v>73</v>
      </c>
      <c r="G32" s="11" t="str">
        <f t="shared" si="4"/>
        <v>56823.3441</v>
      </c>
      <c r="H32" s="28">
        <f t="shared" si="5"/>
        <v>14822</v>
      </c>
      <c r="I32" s="47" t="s">
        <v>302</v>
      </c>
      <c r="J32" s="48" t="s">
        <v>303</v>
      </c>
      <c r="K32" s="47" t="s">
        <v>304</v>
      </c>
      <c r="L32" s="47" t="s">
        <v>305</v>
      </c>
      <c r="M32" s="48" t="s">
        <v>184</v>
      </c>
      <c r="N32" s="48" t="s">
        <v>73</v>
      </c>
      <c r="O32" s="49" t="s">
        <v>272</v>
      </c>
      <c r="P32" s="49" t="s">
        <v>306</v>
      </c>
    </row>
    <row r="33" spans="1:16" ht="12.75" customHeight="1" thickBot="1" x14ac:dyDescent="0.25">
      <c r="A33" s="28" t="str">
        <f t="shared" si="0"/>
        <v> IODE 4.2.109 </v>
      </c>
      <c r="B33" s="3" t="str">
        <f t="shared" si="1"/>
        <v>I</v>
      </c>
      <c r="C33" s="28">
        <f t="shared" si="2"/>
        <v>30893.21</v>
      </c>
      <c r="D33" s="11" t="str">
        <f t="shared" si="3"/>
        <v>vis</v>
      </c>
      <c r="E33" s="46">
        <f>VLOOKUP(C33,Active!C$21:E$961,3,FALSE)</f>
        <v>-9097.9084094048467</v>
      </c>
      <c r="F33" s="3" t="s">
        <v>73</v>
      </c>
      <c r="G33" s="11" t="str">
        <f t="shared" si="4"/>
        <v>30893.21</v>
      </c>
      <c r="H33" s="28">
        <f t="shared" si="5"/>
        <v>-9098</v>
      </c>
      <c r="I33" s="47" t="s">
        <v>76</v>
      </c>
      <c r="J33" s="48" t="s">
        <v>77</v>
      </c>
      <c r="K33" s="47">
        <v>-9098</v>
      </c>
      <c r="L33" s="47" t="s">
        <v>78</v>
      </c>
      <c r="M33" s="48" t="s">
        <v>79</v>
      </c>
      <c r="N33" s="48"/>
      <c r="O33" s="49" t="s">
        <v>80</v>
      </c>
      <c r="P33" s="49" t="s">
        <v>81</v>
      </c>
    </row>
    <row r="34" spans="1:16" ht="12.75" customHeight="1" thickBot="1" x14ac:dyDescent="0.25">
      <c r="A34" s="28" t="str">
        <f t="shared" si="0"/>
        <v> IODE 4.2.109 </v>
      </c>
      <c r="B34" s="3" t="str">
        <f t="shared" si="1"/>
        <v>I</v>
      </c>
      <c r="C34" s="28">
        <f t="shared" si="2"/>
        <v>30894.27</v>
      </c>
      <c r="D34" s="11" t="str">
        <f t="shared" si="3"/>
        <v>vis</v>
      </c>
      <c r="E34" s="46">
        <f>VLOOKUP(C34,Active!C$21:E$961,3,FALSE)</f>
        <v>-9096.9305909399791</v>
      </c>
      <c r="F34" s="3" t="s">
        <v>73</v>
      </c>
      <c r="G34" s="11" t="str">
        <f t="shared" si="4"/>
        <v>30894.27</v>
      </c>
      <c r="H34" s="28">
        <f t="shared" si="5"/>
        <v>-9097</v>
      </c>
      <c r="I34" s="47" t="s">
        <v>82</v>
      </c>
      <c r="J34" s="48" t="s">
        <v>83</v>
      </c>
      <c r="K34" s="47">
        <v>-9097</v>
      </c>
      <c r="L34" s="47" t="s">
        <v>84</v>
      </c>
      <c r="M34" s="48" t="s">
        <v>79</v>
      </c>
      <c r="N34" s="48"/>
      <c r="O34" s="49" t="s">
        <v>80</v>
      </c>
      <c r="P34" s="49" t="s">
        <v>81</v>
      </c>
    </row>
    <row r="35" spans="1:16" ht="12.75" customHeight="1" thickBot="1" x14ac:dyDescent="0.25">
      <c r="A35" s="28" t="str">
        <f t="shared" si="0"/>
        <v> IODE 4.2.109 </v>
      </c>
      <c r="B35" s="3" t="str">
        <f t="shared" si="1"/>
        <v>I</v>
      </c>
      <c r="C35" s="28">
        <f t="shared" si="2"/>
        <v>30895.35</v>
      </c>
      <c r="D35" s="11" t="str">
        <f t="shared" si="3"/>
        <v>vis</v>
      </c>
      <c r="E35" s="46">
        <f>VLOOKUP(C35,Active!C$21:E$961,3,FALSE)</f>
        <v>-9095.9343230701179</v>
      </c>
      <c r="F35" s="3" t="s">
        <v>73</v>
      </c>
      <c r="G35" s="11" t="str">
        <f t="shared" si="4"/>
        <v>30895.35</v>
      </c>
      <c r="H35" s="28">
        <f t="shared" si="5"/>
        <v>-9096</v>
      </c>
      <c r="I35" s="47" t="s">
        <v>85</v>
      </c>
      <c r="J35" s="48" t="s">
        <v>86</v>
      </c>
      <c r="K35" s="47">
        <v>-9096</v>
      </c>
      <c r="L35" s="47" t="s">
        <v>87</v>
      </c>
      <c r="M35" s="48" t="s">
        <v>79</v>
      </c>
      <c r="N35" s="48"/>
      <c r="O35" s="49" t="s">
        <v>80</v>
      </c>
      <c r="P35" s="49" t="s">
        <v>81</v>
      </c>
    </row>
    <row r="36" spans="1:16" ht="12.75" customHeight="1" thickBot="1" x14ac:dyDescent="0.25">
      <c r="A36" s="28" t="str">
        <f t="shared" si="0"/>
        <v> IODE 4.2.109 </v>
      </c>
      <c r="B36" s="3" t="str">
        <f t="shared" si="1"/>
        <v>I</v>
      </c>
      <c r="C36" s="28">
        <f t="shared" si="2"/>
        <v>30908.31</v>
      </c>
      <c r="D36" s="11" t="str">
        <f t="shared" si="3"/>
        <v>vis</v>
      </c>
      <c r="E36" s="46">
        <f>VLOOKUP(C36,Active!C$21:E$961,3,FALSE)</f>
        <v>-9083.9791086317582</v>
      </c>
      <c r="F36" s="3" t="s">
        <v>73</v>
      </c>
      <c r="G36" s="11" t="str">
        <f t="shared" si="4"/>
        <v>30908.31</v>
      </c>
      <c r="H36" s="28">
        <f t="shared" si="5"/>
        <v>-9084</v>
      </c>
      <c r="I36" s="47" t="s">
        <v>88</v>
      </c>
      <c r="J36" s="48" t="s">
        <v>89</v>
      </c>
      <c r="K36" s="47">
        <v>-9084</v>
      </c>
      <c r="L36" s="47" t="s">
        <v>90</v>
      </c>
      <c r="M36" s="48" t="s">
        <v>79</v>
      </c>
      <c r="N36" s="48"/>
      <c r="O36" s="49" t="s">
        <v>80</v>
      </c>
      <c r="P36" s="49" t="s">
        <v>81</v>
      </c>
    </row>
    <row r="37" spans="1:16" ht="12.75" customHeight="1" thickBot="1" x14ac:dyDescent="0.25">
      <c r="A37" s="28" t="str">
        <f t="shared" si="0"/>
        <v> IODE 4.2.109 </v>
      </c>
      <c r="B37" s="3" t="str">
        <f t="shared" si="1"/>
        <v>I</v>
      </c>
      <c r="C37" s="28">
        <f t="shared" si="2"/>
        <v>30945.27</v>
      </c>
      <c r="D37" s="11" t="str">
        <f t="shared" si="3"/>
        <v>vis</v>
      </c>
      <c r="E37" s="46">
        <f>VLOOKUP(C37,Active!C$21:E$961,3,FALSE)</f>
        <v>-9049.8846081964457</v>
      </c>
      <c r="F37" s="3" t="s">
        <v>73</v>
      </c>
      <c r="G37" s="11" t="str">
        <f t="shared" si="4"/>
        <v>30945.27</v>
      </c>
      <c r="H37" s="28">
        <f t="shared" si="5"/>
        <v>-9050</v>
      </c>
      <c r="I37" s="47" t="s">
        <v>91</v>
      </c>
      <c r="J37" s="48" t="s">
        <v>92</v>
      </c>
      <c r="K37" s="47">
        <v>-9050</v>
      </c>
      <c r="L37" s="47" t="s">
        <v>93</v>
      </c>
      <c r="M37" s="48" t="s">
        <v>79</v>
      </c>
      <c r="N37" s="48"/>
      <c r="O37" s="49" t="s">
        <v>80</v>
      </c>
      <c r="P37" s="49" t="s">
        <v>81</v>
      </c>
    </row>
    <row r="38" spans="1:16" ht="12.75" customHeight="1" thickBot="1" x14ac:dyDescent="0.25">
      <c r="A38" s="28" t="str">
        <f t="shared" si="0"/>
        <v> IODE 4.2.109 </v>
      </c>
      <c r="B38" s="3" t="str">
        <f t="shared" si="1"/>
        <v>I</v>
      </c>
      <c r="C38" s="28">
        <f t="shared" si="2"/>
        <v>30946.33</v>
      </c>
      <c r="D38" s="11" t="str">
        <f t="shared" si="3"/>
        <v>vis</v>
      </c>
      <c r="E38" s="46">
        <f>VLOOKUP(C38,Active!C$21:E$961,3,FALSE)</f>
        <v>-9048.9067897315799</v>
      </c>
      <c r="F38" s="3" t="s">
        <v>73</v>
      </c>
      <c r="G38" s="11" t="str">
        <f t="shared" si="4"/>
        <v>30946.33</v>
      </c>
      <c r="H38" s="28">
        <f t="shared" si="5"/>
        <v>-9049</v>
      </c>
      <c r="I38" s="47" t="s">
        <v>94</v>
      </c>
      <c r="J38" s="48" t="s">
        <v>95</v>
      </c>
      <c r="K38" s="47">
        <v>-9049</v>
      </c>
      <c r="L38" s="47" t="s">
        <v>78</v>
      </c>
      <c r="M38" s="48" t="s">
        <v>79</v>
      </c>
      <c r="N38" s="48"/>
      <c r="O38" s="49" t="s">
        <v>80</v>
      </c>
      <c r="P38" s="49" t="s">
        <v>81</v>
      </c>
    </row>
    <row r="39" spans="1:16" ht="12.75" customHeight="1" thickBot="1" x14ac:dyDescent="0.25">
      <c r="A39" s="28" t="str">
        <f t="shared" si="0"/>
        <v> IODE 4.2.109 </v>
      </c>
      <c r="B39" s="3" t="str">
        <f t="shared" si="1"/>
        <v>I</v>
      </c>
      <c r="C39" s="28">
        <f t="shared" si="2"/>
        <v>30971.26</v>
      </c>
      <c r="D39" s="11" t="str">
        <f t="shared" si="3"/>
        <v>vis</v>
      </c>
      <c r="E39" s="46">
        <f>VLOOKUP(C39,Active!C$21:E$961,3,FALSE)</f>
        <v>-9025.9096064022433</v>
      </c>
      <c r="F39" s="3" t="s">
        <v>73</v>
      </c>
      <c r="G39" s="11" t="str">
        <f t="shared" si="4"/>
        <v>30971.26</v>
      </c>
      <c r="H39" s="28">
        <f t="shared" si="5"/>
        <v>-9026</v>
      </c>
      <c r="I39" s="47" t="s">
        <v>96</v>
      </c>
      <c r="J39" s="48" t="s">
        <v>97</v>
      </c>
      <c r="K39" s="47">
        <v>-9026</v>
      </c>
      <c r="L39" s="47" t="s">
        <v>78</v>
      </c>
      <c r="M39" s="48" t="s">
        <v>79</v>
      </c>
      <c r="N39" s="48"/>
      <c r="O39" s="49" t="s">
        <v>80</v>
      </c>
      <c r="P39" s="49" t="s">
        <v>81</v>
      </c>
    </row>
    <row r="40" spans="1:16" ht="12.75" customHeight="1" thickBot="1" x14ac:dyDescent="0.25">
      <c r="A40" s="28" t="str">
        <f t="shared" si="0"/>
        <v> IODE 4.2.109 </v>
      </c>
      <c r="B40" s="3" t="str">
        <f t="shared" si="1"/>
        <v>I</v>
      </c>
      <c r="C40" s="28">
        <f t="shared" si="2"/>
        <v>30996.2</v>
      </c>
      <c r="D40" s="11" t="str">
        <f t="shared" si="3"/>
        <v>vis</v>
      </c>
      <c r="E40" s="46">
        <f>VLOOKUP(C40,Active!C$21:E$961,3,FALSE)</f>
        <v>-9002.9031983704026</v>
      </c>
      <c r="F40" s="3" t="s">
        <v>73</v>
      </c>
      <c r="G40" s="11" t="str">
        <f t="shared" si="4"/>
        <v>30996.20</v>
      </c>
      <c r="H40" s="28">
        <f t="shared" si="5"/>
        <v>-9003</v>
      </c>
      <c r="I40" s="47" t="s">
        <v>98</v>
      </c>
      <c r="J40" s="48" t="s">
        <v>99</v>
      </c>
      <c r="K40" s="47">
        <v>-9003</v>
      </c>
      <c r="L40" s="47" t="s">
        <v>78</v>
      </c>
      <c r="M40" s="48" t="s">
        <v>79</v>
      </c>
      <c r="N40" s="48"/>
      <c r="O40" s="49" t="s">
        <v>80</v>
      </c>
      <c r="P40" s="49" t="s">
        <v>81</v>
      </c>
    </row>
    <row r="41" spans="1:16" ht="12.75" customHeight="1" thickBot="1" x14ac:dyDescent="0.25">
      <c r="A41" s="28" t="str">
        <f t="shared" si="0"/>
        <v> IODE 4.2.109 </v>
      </c>
      <c r="B41" s="3" t="str">
        <f t="shared" si="1"/>
        <v>I</v>
      </c>
      <c r="C41" s="28">
        <f t="shared" si="2"/>
        <v>31021.119999999999</v>
      </c>
      <c r="D41" s="11" t="str">
        <f t="shared" si="3"/>
        <v>vis</v>
      </c>
      <c r="E41" s="46">
        <f>VLOOKUP(C41,Active!C$21:E$961,3,FALSE)</f>
        <v>-8979.9152397435646</v>
      </c>
      <c r="F41" s="3" t="s">
        <v>73</v>
      </c>
      <c r="G41" s="11" t="str">
        <f t="shared" si="4"/>
        <v>31021.12</v>
      </c>
      <c r="H41" s="28">
        <f t="shared" si="5"/>
        <v>-8980</v>
      </c>
      <c r="I41" s="47" t="s">
        <v>100</v>
      </c>
      <c r="J41" s="48" t="s">
        <v>101</v>
      </c>
      <c r="K41" s="47">
        <v>-8980</v>
      </c>
      <c r="L41" s="47" t="s">
        <v>102</v>
      </c>
      <c r="M41" s="48" t="s">
        <v>79</v>
      </c>
      <c r="N41" s="48"/>
      <c r="O41" s="49" t="s">
        <v>80</v>
      </c>
      <c r="P41" s="49" t="s">
        <v>81</v>
      </c>
    </row>
    <row r="42" spans="1:16" ht="12.75" customHeight="1" thickBot="1" x14ac:dyDescent="0.25">
      <c r="A42" s="28" t="str">
        <f t="shared" si="0"/>
        <v> IODE 4.2.109 </v>
      </c>
      <c r="B42" s="3" t="str">
        <f t="shared" si="1"/>
        <v>I</v>
      </c>
      <c r="C42" s="28">
        <f t="shared" si="2"/>
        <v>31216.26</v>
      </c>
      <c r="D42" s="11" t="str">
        <f t="shared" si="3"/>
        <v>vis</v>
      </c>
      <c r="E42" s="46">
        <f>VLOOKUP(C42,Active!C$21:E$961,3,FALSE)</f>
        <v>-8799.9043951833082</v>
      </c>
      <c r="F42" s="3" t="s">
        <v>73</v>
      </c>
      <c r="G42" s="11" t="str">
        <f t="shared" si="4"/>
        <v>31216.26</v>
      </c>
      <c r="H42" s="28">
        <f t="shared" si="5"/>
        <v>-8800</v>
      </c>
      <c r="I42" s="47" t="s">
        <v>103</v>
      </c>
      <c r="J42" s="48" t="s">
        <v>104</v>
      </c>
      <c r="K42" s="47">
        <v>-8800</v>
      </c>
      <c r="L42" s="47" t="s">
        <v>78</v>
      </c>
      <c r="M42" s="48" t="s">
        <v>79</v>
      </c>
      <c r="N42" s="48"/>
      <c r="O42" s="49" t="s">
        <v>80</v>
      </c>
      <c r="P42" s="49" t="s">
        <v>81</v>
      </c>
    </row>
    <row r="43" spans="1:16" ht="12.75" customHeight="1" thickBot="1" x14ac:dyDescent="0.25">
      <c r="A43" s="28" t="str">
        <f t="shared" ref="A43:A63" si="6">P43</f>
        <v> IODE 4.2.109 </v>
      </c>
      <c r="B43" s="3" t="str">
        <f t="shared" ref="B43:B63" si="7">IF(H43=INT(H43),"I","II")</f>
        <v>I</v>
      </c>
      <c r="C43" s="28">
        <f t="shared" ref="C43:C63" si="8">1*G43</f>
        <v>31256.35</v>
      </c>
      <c r="D43" s="11" t="str">
        <f t="shared" ref="D43:D63" si="9">VLOOKUP(F43,I$1:J$5,2,FALSE)</f>
        <v>vis</v>
      </c>
      <c r="E43" s="46">
        <f>VLOOKUP(C43,Active!C$21:E$961,3,FALSE)</f>
        <v>-8762.9225628658896</v>
      </c>
      <c r="F43" s="3" t="s">
        <v>73</v>
      </c>
      <c r="G43" s="11" t="str">
        <f t="shared" ref="G43:G63" si="10">MID(I43,3,LEN(I43)-3)</f>
        <v>31256.35</v>
      </c>
      <c r="H43" s="28">
        <f t="shared" ref="H43:H63" si="11">1*K43</f>
        <v>-8763</v>
      </c>
      <c r="I43" s="47" t="s">
        <v>105</v>
      </c>
      <c r="J43" s="48" t="s">
        <v>106</v>
      </c>
      <c r="K43" s="47">
        <v>-8763</v>
      </c>
      <c r="L43" s="47" t="s">
        <v>84</v>
      </c>
      <c r="M43" s="48" t="s">
        <v>79</v>
      </c>
      <c r="N43" s="48"/>
      <c r="O43" s="49" t="s">
        <v>80</v>
      </c>
      <c r="P43" s="49" t="s">
        <v>81</v>
      </c>
    </row>
    <row r="44" spans="1:16" ht="12.75" customHeight="1" thickBot="1" x14ac:dyDescent="0.25">
      <c r="A44" s="28" t="str">
        <f t="shared" si="6"/>
        <v> PASP 86.205 </v>
      </c>
      <c r="B44" s="3" t="str">
        <f t="shared" si="7"/>
        <v>I</v>
      </c>
      <c r="C44" s="28">
        <f t="shared" si="8"/>
        <v>41864.740299999998</v>
      </c>
      <c r="D44" s="11" t="str">
        <f t="shared" si="9"/>
        <v>vis</v>
      </c>
      <c r="E44" s="46">
        <f>VLOOKUP(C44,Active!C$21:E$961,3,FALSE)</f>
        <v>1023.0018879276089</v>
      </c>
      <c r="F44" s="3" t="s">
        <v>73</v>
      </c>
      <c r="G44" s="11" t="str">
        <f t="shared" si="10"/>
        <v>41864.7403</v>
      </c>
      <c r="H44" s="28">
        <f t="shared" si="11"/>
        <v>1023</v>
      </c>
      <c r="I44" s="47" t="s">
        <v>107</v>
      </c>
      <c r="J44" s="48" t="s">
        <v>108</v>
      </c>
      <c r="K44" s="47">
        <v>1023</v>
      </c>
      <c r="L44" s="47" t="s">
        <v>109</v>
      </c>
      <c r="M44" s="48" t="s">
        <v>110</v>
      </c>
      <c r="N44" s="48" t="s">
        <v>111</v>
      </c>
      <c r="O44" s="49" t="s">
        <v>112</v>
      </c>
      <c r="P44" s="49" t="s">
        <v>113</v>
      </c>
    </row>
    <row r="45" spans="1:16" ht="12.75" customHeight="1" thickBot="1" x14ac:dyDescent="0.25">
      <c r="A45" s="28" t="str">
        <f t="shared" si="6"/>
        <v>BAVM 38 </v>
      </c>
      <c r="B45" s="3" t="str">
        <f t="shared" si="7"/>
        <v>I</v>
      </c>
      <c r="C45" s="28">
        <f t="shared" si="8"/>
        <v>45820.455999999998</v>
      </c>
      <c r="D45" s="11" t="str">
        <f t="shared" si="9"/>
        <v>vis</v>
      </c>
      <c r="E45" s="46">
        <f>VLOOKUP(C45,Active!C$21:E$961,3,FALSE)</f>
        <v>4672.031938133975</v>
      </c>
      <c r="F45" s="3" t="s">
        <v>73</v>
      </c>
      <c r="G45" s="11" t="str">
        <f t="shared" si="10"/>
        <v>45820.456</v>
      </c>
      <c r="H45" s="28">
        <f t="shared" si="11"/>
        <v>4672</v>
      </c>
      <c r="I45" s="47" t="s">
        <v>114</v>
      </c>
      <c r="J45" s="48" t="s">
        <v>115</v>
      </c>
      <c r="K45" s="47">
        <v>4672</v>
      </c>
      <c r="L45" s="47" t="s">
        <v>116</v>
      </c>
      <c r="M45" s="48" t="s">
        <v>79</v>
      </c>
      <c r="N45" s="48"/>
      <c r="O45" s="49" t="s">
        <v>117</v>
      </c>
      <c r="P45" s="50" t="s">
        <v>118</v>
      </c>
    </row>
    <row r="46" spans="1:16" ht="12.75" customHeight="1" thickBot="1" x14ac:dyDescent="0.25">
      <c r="A46" s="28" t="str">
        <f t="shared" si="6"/>
        <v>BAVM 50 </v>
      </c>
      <c r="B46" s="3" t="str">
        <f t="shared" si="7"/>
        <v>I</v>
      </c>
      <c r="C46" s="28">
        <f t="shared" si="8"/>
        <v>47266.506999999998</v>
      </c>
      <c r="D46" s="11" t="str">
        <f t="shared" si="9"/>
        <v>vis</v>
      </c>
      <c r="E46" s="46">
        <f>VLOOKUP(C46,Active!C$21:E$961,3,FALSE)</f>
        <v>6005.9709654333747</v>
      </c>
      <c r="F46" s="3" t="s">
        <v>73</v>
      </c>
      <c r="G46" s="11" t="str">
        <f t="shared" si="10"/>
        <v>47266.5070</v>
      </c>
      <c r="H46" s="28">
        <f t="shared" si="11"/>
        <v>6006</v>
      </c>
      <c r="I46" s="47" t="s">
        <v>119</v>
      </c>
      <c r="J46" s="48" t="s">
        <v>120</v>
      </c>
      <c r="K46" s="47">
        <v>6006</v>
      </c>
      <c r="L46" s="47" t="s">
        <v>121</v>
      </c>
      <c r="M46" s="48" t="s">
        <v>110</v>
      </c>
      <c r="N46" s="48" t="s">
        <v>122</v>
      </c>
      <c r="O46" s="49" t="s">
        <v>123</v>
      </c>
      <c r="P46" s="50" t="s">
        <v>124</v>
      </c>
    </row>
    <row r="47" spans="1:16" ht="12.75" customHeight="1" thickBot="1" x14ac:dyDescent="0.25">
      <c r="A47" s="28" t="str">
        <f t="shared" si="6"/>
        <v>BAVM 52 </v>
      </c>
      <c r="B47" s="3" t="str">
        <f t="shared" si="7"/>
        <v>I</v>
      </c>
      <c r="C47" s="28">
        <f t="shared" si="8"/>
        <v>47653.514300000003</v>
      </c>
      <c r="D47" s="11" t="str">
        <f t="shared" si="9"/>
        <v>vis</v>
      </c>
      <c r="E47" s="46">
        <f>VLOOKUP(C47,Active!C$21:E$961,3,FALSE)</f>
        <v>6362.9736861671345</v>
      </c>
      <c r="F47" s="3" t="s">
        <v>73</v>
      </c>
      <c r="G47" s="11" t="str">
        <f t="shared" si="10"/>
        <v>47653.5143</v>
      </c>
      <c r="H47" s="28">
        <f t="shared" si="11"/>
        <v>6363</v>
      </c>
      <c r="I47" s="47" t="s">
        <v>125</v>
      </c>
      <c r="J47" s="48" t="s">
        <v>126</v>
      </c>
      <c r="K47" s="47">
        <v>6363</v>
      </c>
      <c r="L47" s="47" t="s">
        <v>127</v>
      </c>
      <c r="M47" s="48" t="s">
        <v>110</v>
      </c>
      <c r="N47" s="48" t="s">
        <v>122</v>
      </c>
      <c r="O47" s="49" t="s">
        <v>123</v>
      </c>
      <c r="P47" s="50" t="s">
        <v>128</v>
      </c>
    </row>
    <row r="48" spans="1:16" ht="12.75" customHeight="1" thickBot="1" x14ac:dyDescent="0.25">
      <c r="A48" s="28" t="str">
        <f t="shared" si="6"/>
        <v>BAVM 59 </v>
      </c>
      <c r="B48" s="3" t="str">
        <f t="shared" si="7"/>
        <v>I</v>
      </c>
      <c r="C48" s="28">
        <f t="shared" si="8"/>
        <v>48014.499000000003</v>
      </c>
      <c r="D48" s="11" t="str">
        <f t="shared" si="9"/>
        <v>vis</v>
      </c>
      <c r="E48" s="46">
        <f>VLOOKUP(C48,Active!C$21:E$961,3,FALSE)</f>
        <v>6695.9713325765397</v>
      </c>
      <c r="F48" s="3" t="s">
        <v>73</v>
      </c>
      <c r="G48" s="11" t="str">
        <f t="shared" si="10"/>
        <v>48014.499</v>
      </c>
      <c r="H48" s="28">
        <f t="shared" si="11"/>
        <v>6696</v>
      </c>
      <c r="I48" s="47" t="s">
        <v>129</v>
      </c>
      <c r="J48" s="48" t="s">
        <v>130</v>
      </c>
      <c r="K48" s="47">
        <v>6696</v>
      </c>
      <c r="L48" s="47" t="s">
        <v>131</v>
      </c>
      <c r="M48" s="48" t="s">
        <v>75</v>
      </c>
      <c r="N48" s="48"/>
      <c r="O48" s="49" t="s">
        <v>132</v>
      </c>
      <c r="P48" s="50" t="s">
        <v>133</v>
      </c>
    </row>
    <row r="49" spans="1:16" ht="12.75" customHeight="1" thickBot="1" x14ac:dyDescent="0.25">
      <c r="A49" s="28" t="str">
        <f t="shared" si="6"/>
        <v>BAVM 60 </v>
      </c>
      <c r="B49" s="3" t="str">
        <f t="shared" si="7"/>
        <v>I</v>
      </c>
      <c r="C49" s="28">
        <f t="shared" si="8"/>
        <v>48762.472500000003</v>
      </c>
      <c r="D49" s="11" t="str">
        <f t="shared" si="9"/>
        <v>vis</v>
      </c>
      <c r="E49" s="46">
        <f>VLOOKUP(C49,Active!C$21:E$961,3,FALSE)</f>
        <v>7385.9546340200768</v>
      </c>
      <c r="F49" s="3" t="s">
        <v>73</v>
      </c>
      <c r="G49" s="11" t="str">
        <f t="shared" si="10"/>
        <v>48762.4725</v>
      </c>
      <c r="H49" s="28">
        <f t="shared" si="11"/>
        <v>7386</v>
      </c>
      <c r="I49" s="47" t="s">
        <v>134</v>
      </c>
      <c r="J49" s="48" t="s">
        <v>135</v>
      </c>
      <c r="K49" s="47">
        <v>7386</v>
      </c>
      <c r="L49" s="47" t="s">
        <v>136</v>
      </c>
      <c r="M49" s="48" t="s">
        <v>110</v>
      </c>
      <c r="N49" s="48" t="s">
        <v>137</v>
      </c>
      <c r="O49" s="49" t="s">
        <v>123</v>
      </c>
      <c r="P49" s="50" t="s">
        <v>138</v>
      </c>
    </row>
    <row r="50" spans="1:16" ht="12.75" customHeight="1" thickBot="1" x14ac:dyDescent="0.25">
      <c r="A50" s="28" t="str">
        <f t="shared" si="6"/>
        <v>BAVM 60 </v>
      </c>
      <c r="B50" s="3" t="str">
        <f t="shared" si="7"/>
        <v>I</v>
      </c>
      <c r="C50" s="28">
        <f t="shared" si="8"/>
        <v>48762.474399999999</v>
      </c>
      <c r="D50" s="11" t="str">
        <f t="shared" si="9"/>
        <v>vis</v>
      </c>
      <c r="E50" s="46">
        <f>VLOOKUP(C50,Active!C$21:E$961,3,FALSE)</f>
        <v>7385.9563867135475</v>
      </c>
      <c r="F50" s="3" t="s">
        <v>73</v>
      </c>
      <c r="G50" s="11" t="str">
        <f t="shared" si="10"/>
        <v>48762.4744</v>
      </c>
      <c r="H50" s="28">
        <f t="shared" si="11"/>
        <v>7386</v>
      </c>
      <c r="I50" s="47" t="s">
        <v>139</v>
      </c>
      <c r="J50" s="48" t="s">
        <v>140</v>
      </c>
      <c r="K50" s="47">
        <v>7386</v>
      </c>
      <c r="L50" s="47" t="s">
        <v>141</v>
      </c>
      <c r="M50" s="48" t="s">
        <v>110</v>
      </c>
      <c r="N50" s="48" t="s">
        <v>122</v>
      </c>
      <c r="O50" s="49" t="s">
        <v>123</v>
      </c>
      <c r="P50" s="50" t="s">
        <v>138</v>
      </c>
    </row>
    <row r="51" spans="1:16" ht="12.75" customHeight="1" thickBot="1" x14ac:dyDescent="0.25">
      <c r="A51" s="28" t="str">
        <f t="shared" si="6"/>
        <v>BAVM 62 </v>
      </c>
      <c r="B51" s="3" t="str">
        <f t="shared" si="7"/>
        <v>I</v>
      </c>
      <c r="C51" s="28">
        <f t="shared" si="8"/>
        <v>49060.578300000001</v>
      </c>
      <c r="D51" s="11" t="str">
        <f t="shared" si="9"/>
        <v>vis</v>
      </c>
      <c r="E51" s="46">
        <f>VLOOKUP(C51,Active!C$21:E$961,3,FALSE)</f>
        <v>7660.9483658347262</v>
      </c>
      <c r="F51" s="3" t="s">
        <v>73</v>
      </c>
      <c r="G51" s="11" t="str">
        <f t="shared" si="10"/>
        <v>49060.5783</v>
      </c>
      <c r="H51" s="28">
        <f t="shared" si="11"/>
        <v>7661</v>
      </c>
      <c r="I51" s="47" t="s">
        <v>142</v>
      </c>
      <c r="J51" s="48" t="s">
        <v>143</v>
      </c>
      <c r="K51" s="47">
        <v>7661</v>
      </c>
      <c r="L51" s="47" t="s">
        <v>144</v>
      </c>
      <c r="M51" s="48" t="s">
        <v>110</v>
      </c>
      <c r="N51" s="48" t="s">
        <v>145</v>
      </c>
      <c r="O51" s="49" t="s">
        <v>123</v>
      </c>
      <c r="P51" s="50" t="s">
        <v>146</v>
      </c>
    </row>
    <row r="52" spans="1:16" ht="12.75" customHeight="1" thickBot="1" x14ac:dyDescent="0.25">
      <c r="A52" s="28" t="str">
        <f t="shared" si="6"/>
        <v>BAVM 62 </v>
      </c>
      <c r="B52" s="3" t="str">
        <f t="shared" si="7"/>
        <v>I</v>
      </c>
      <c r="C52" s="28">
        <f t="shared" si="8"/>
        <v>49060.584199999998</v>
      </c>
      <c r="D52" s="11" t="str">
        <f t="shared" si="9"/>
        <v>vis</v>
      </c>
      <c r="E52" s="46">
        <f>VLOOKUP(C52,Active!C$21:E$961,3,FALSE)</f>
        <v>7660.9538084091973</v>
      </c>
      <c r="F52" s="3" t="s">
        <v>73</v>
      </c>
      <c r="G52" s="11" t="str">
        <f t="shared" si="10"/>
        <v>49060.5842</v>
      </c>
      <c r="H52" s="28">
        <f t="shared" si="11"/>
        <v>7661</v>
      </c>
      <c r="I52" s="47" t="s">
        <v>147</v>
      </c>
      <c r="J52" s="48" t="s">
        <v>148</v>
      </c>
      <c r="K52" s="47">
        <v>7661</v>
      </c>
      <c r="L52" s="47" t="s">
        <v>149</v>
      </c>
      <c r="M52" s="48" t="s">
        <v>110</v>
      </c>
      <c r="N52" s="48" t="s">
        <v>122</v>
      </c>
      <c r="O52" s="49" t="s">
        <v>123</v>
      </c>
      <c r="P52" s="50" t="s">
        <v>146</v>
      </c>
    </row>
    <row r="53" spans="1:16" ht="12.75" customHeight="1" thickBot="1" x14ac:dyDescent="0.25">
      <c r="A53" s="28" t="str">
        <f t="shared" si="6"/>
        <v>BAVM 68 </v>
      </c>
      <c r="B53" s="3" t="str">
        <f t="shared" si="7"/>
        <v>I</v>
      </c>
      <c r="C53" s="28">
        <f t="shared" si="8"/>
        <v>49472.5069</v>
      </c>
      <c r="D53" s="11" t="str">
        <f t="shared" si="9"/>
        <v>vis</v>
      </c>
      <c r="E53" s="46">
        <f>VLOOKUP(C53,Active!C$21:E$961,3,FALSE)</f>
        <v>8040.9402444066463</v>
      </c>
      <c r="F53" s="3" t="s">
        <v>73</v>
      </c>
      <c r="G53" s="11" t="str">
        <f t="shared" si="10"/>
        <v>49472.5069</v>
      </c>
      <c r="H53" s="28">
        <f t="shared" si="11"/>
        <v>8041</v>
      </c>
      <c r="I53" s="47" t="s">
        <v>150</v>
      </c>
      <c r="J53" s="48" t="s">
        <v>151</v>
      </c>
      <c r="K53" s="47">
        <v>8041</v>
      </c>
      <c r="L53" s="47" t="s">
        <v>152</v>
      </c>
      <c r="M53" s="48" t="s">
        <v>110</v>
      </c>
      <c r="N53" s="48" t="s">
        <v>145</v>
      </c>
      <c r="O53" s="49" t="s">
        <v>123</v>
      </c>
      <c r="P53" s="50" t="s">
        <v>153</v>
      </c>
    </row>
    <row r="54" spans="1:16" ht="12.75" customHeight="1" thickBot="1" x14ac:dyDescent="0.25">
      <c r="A54" s="28" t="str">
        <f t="shared" si="6"/>
        <v>BAVM 68 </v>
      </c>
      <c r="B54" s="3" t="str">
        <f t="shared" si="7"/>
        <v>I</v>
      </c>
      <c r="C54" s="28">
        <f t="shared" si="8"/>
        <v>49472.510499999997</v>
      </c>
      <c r="D54" s="11" t="str">
        <f t="shared" si="9"/>
        <v>vis</v>
      </c>
      <c r="E54" s="46">
        <f>VLOOKUP(C54,Active!C$21:E$961,3,FALSE)</f>
        <v>8040.9435652995426</v>
      </c>
      <c r="F54" s="3" t="s">
        <v>73</v>
      </c>
      <c r="G54" s="11" t="str">
        <f t="shared" si="10"/>
        <v>49472.5105</v>
      </c>
      <c r="H54" s="28">
        <f t="shared" si="11"/>
        <v>8041</v>
      </c>
      <c r="I54" s="47" t="s">
        <v>154</v>
      </c>
      <c r="J54" s="48" t="s">
        <v>155</v>
      </c>
      <c r="K54" s="47">
        <v>8041</v>
      </c>
      <c r="L54" s="47" t="s">
        <v>156</v>
      </c>
      <c r="M54" s="48" t="s">
        <v>110</v>
      </c>
      <c r="N54" s="48" t="s">
        <v>122</v>
      </c>
      <c r="O54" s="49" t="s">
        <v>123</v>
      </c>
      <c r="P54" s="50" t="s">
        <v>153</v>
      </c>
    </row>
    <row r="55" spans="1:16" ht="12.75" customHeight="1" thickBot="1" x14ac:dyDescent="0.25">
      <c r="A55" s="28" t="str">
        <f t="shared" si="6"/>
        <v>VSB 48 </v>
      </c>
      <c r="B55" s="3" t="str">
        <f t="shared" si="7"/>
        <v>II</v>
      </c>
      <c r="C55" s="28">
        <f t="shared" si="8"/>
        <v>54608.171600000001</v>
      </c>
      <c r="D55" s="11" t="str">
        <f t="shared" si="9"/>
        <v>vis</v>
      </c>
      <c r="E55" s="46">
        <f>VLOOKUP(C55,Active!C$21:E$961,3,FALSE)</f>
        <v>12778.438143480653</v>
      </c>
      <c r="F55" s="3" t="s">
        <v>73</v>
      </c>
      <c r="G55" s="11" t="str">
        <f t="shared" si="10"/>
        <v>54608.1716</v>
      </c>
      <c r="H55" s="28">
        <f t="shared" si="11"/>
        <v>12778.5</v>
      </c>
      <c r="I55" s="47" t="s">
        <v>229</v>
      </c>
      <c r="J55" s="48" t="s">
        <v>230</v>
      </c>
      <c r="K55" s="47" t="s">
        <v>231</v>
      </c>
      <c r="L55" s="47" t="s">
        <v>232</v>
      </c>
      <c r="M55" s="48" t="s">
        <v>184</v>
      </c>
      <c r="N55" s="48" t="s">
        <v>233</v>
      </c>
      <c r="O55" s="49" t="s">
        <v>234</v>
      </c>
      <c r="P55" s="50" t="s">
        <v>235</v>
      </c>
    </row>
    <row r="56" spans="1:16" ht="12.75" customHeight="1" thickBot="1" x14ac:dyDescent="0.25">
      <c r="A56" s="28" t="str">
        <f t="shared" si="6"/>
        <v>OEJV 0137 </v>
      </c>
      <c r="B56" s="3" t="str">
        <f t="shared" si="7"/>
        <v>I</v>
      </c>
      <c r="C56" s="28">
        <f t="shared" si="8"/>
        <v>55340.386599999998</v>
      </c>
      <c r="D56" s="11" t="str">
        <f t="shared" si="9"/>
        <v>vis</v>
      </c>
      <c r="E56" s="46">
        <f>VLOOKUP(C56,Active!C$21:E$961,3,FALSE)</f>
        <v>13453.88469749156</v>
      </c>
      <c r="F56" s="3" t="s">
        <v>73</v>
      </c>
      <c r="G56" s="11" t="str">
        <f t="shared" si="10"/>
        <v>55340.3866</v>
      </c>
      <c r="H56" s="28">
        <f t="shared" si="11"/>
        <v>13454</v>
      </c>
      <c r="I56" s="47" t="s">
        <v>253</v>
      </c>
      <c r="J56" s="48" t="s">
        <v>254</v>
      </c>
      <c r="K56" s="47" t="s">
        <v>255</v>
      </c>
      <c r="L56" s="47" t="s">
        <v>256</v>
      </c>
      <c r="M56" s="48" t="s">
        <v>184</v>
      </c>
      <c r="N56" s="48" t="s">
        <v>73</v>
      </c>
      <c r="O56" s="49" t="s">
        <v>257</v>
      </c>
      <c r="P56" s="50" t="s">
        <v>258</v>
      </c>
    </row>
    <row r="57" spans="1:16" ht="12.75" customHeight="1" thickBot="1" x14ac:dyDescent="0.25">
      <c r="A57" s="28" t="str">
        <f t="shared" si="6"/>
        <v>OEJV 0137 </v>
      </c>
      <c r="B57" s="3" t="str">
        <f t="shared" si="7"/>
        <v>I</v>
      </c>
      <c r="C57" s="28">
        <f t="shared" si="8"/>
        <v>55353.3966</v>
      </c>
      <c r="D57" s="11" t="str">
        <f t="shared" si="9"/>
        <v>vis</v>
      </c>
      <c r="E57" s="46">
        <f>VLOOKUP(C57,Active!C$21:E$961,3,FALSE)</f>
        <v>13465.886035442412</v>
      </c>
      <c r="F57" s="3" t="s">
        <v>73</v>
      </c>
      <c r="G57" s="11" t="str">
        <f t="shared" si="10"/>
        <v>55353.3966</v>
      </c>
      <c r="H57" s="28">
        <f t="shared" si="11"/>
        <v>13466</v>
      </c>
      <c r="I57" s="47" t="s">
        <v>265</v>
      </c>
      <c r="J57" s="48" t="s">
        <v>266</v>
      </c>
      <c r="K57" s="47" t="s">
        <v>267</v>
      </c>
      <c r="L57" s="47" t="s">
        <v>217</v>
      </c>
      <c r="M57" s="48" t="s">
        <v>184</v>
      </c>
      <c r="N57" s="48" t="s">
        <v>73</v>
      </c>
      <c r="O57" s="49" t="s">
        <v>257</v>
      </c>
      <c r="P57" s="50" t="s">
        <v>258</v>
      </c>
    </row>
    <row r="58" spans="1:16" ht="12.75" customHeight="1" thickBot="1" x14ac:dyDescent="0.25">
      <c r="A58" s="28" t="str">
        <f t="shared" si="6"/>
        <v>IBVS 6095 </v>
      </c>
      <c r="B58" s="3" t="str">
        <f t="shared" si="7"/>
        <v>I</v>
      </c>
      <c r="C58" s="28">
        <f t="shared" si="8"/>
        <v>56050.434300000001</v>
      </c>
      <c r="D58" s="11" t="str">
        <f t="shared" si="9"/>
        <v>vis</v>
      </c>
      <c r="E58" s="46">
        <f>VLOOKUP(C58,Active!C$21:E$961,3,FALSE)</f>
        <v>14108.882576732458</v>
      </c>
      <c r="F58" s="3" t="s">
        <v>73</v>
      </c>
      <c r="G58" s="11" t="str">
        <f t="shared" si="10"/>
        <v>56050.4343</v>
      </c>
      <c r="H58" s="28">
        <f t="shared" si="11"/>
        <v>14109</v>
      </c>
      <c r="I58" s="47" t="s">
        <v>278</v>
      </c>
      <c r="J58" s="48" t="s">
        <v>279</v>
      </c>
      <c r="K58" s="47" t="s">
        <v>280</v>
      </c>
      <c r="L58" s="47" t="s">
        <v>281</v>
      </c>
      <c r="M58" s="48" t="s">
        <v>184</v>
      </c>
      <c r="N58" s="48" t="s">
        <v>122</v>
      </c>
      <c r="O58" s="49" t="s">
        <v>282</v>
      </c>
      <c r="P58" s="50" t="s">
        <v>283</v>
      </c>
    </row>
    <row r="59" spans="1:16" ht="12.75" customHeight="1" thickBot="1" x14ac:dyDescent="0.25">
      <c r="A59" s="28" t="str">
        <f t="shared" si="6"/>
        <v>IBVS 6095 </v>
      </c>
      <c r="B59" s="3" t="str">
        <f t="shared" si="7"/>
        <v>II</v>
      </c>
      <c r="C59" s="28">
        <f t="shared" si="8"/>
        <v>56070.483999999997</v>
      </c>
      <c r="D59" s="11" t="str">
        <f t="shared" si="9"/>
        <v>vis</v>
      </c>
      <c r="E59" s="46">
        <f>VLOOKUP(C59,Active!C$21:E$961,3,FALSE)</f>
        <v>14127.377828501338</v>
      </c>
      <c r="F59" s="3" t="s">
        <v>73</v>
      </c>
      <c r="G59" s="11" t="str">
        <f t="shared" si="10"/>
        <v>56070.4840</v>
      </c>
      <c r="H59" s="28">
        <f t="shared" si="11"/>
        <v>14127.5</v>
      </c>
      <c r="I59" s="47" t="s">
        <v>284</v>
      </c>
      <c r="J59" s="48" t="s">
        <v>285</v>
      </c>
      <c r="K59" s="47" t="s">
        <v>286</v>
      </c>
      <c r="L59" s="47" t="s">
        <v>287</v>
      </c>
      <c r="M59" s="48" t="s">
        <v>184</v>
      </c>
      <c r="N59" s="48" t="s">
        <v>122</v>
      </c>
      <c r="O59" s="49" t="s">
        <v>282</v>
      </c>
      <c r="P59" s="50" t="s">
        <v>283</v>
      </c>
    </row>
    <row r="60" spans="1:16" ht="12.75" customHeight="1" thickBot="1" x14ac:dyDescent="0.25">
      <c r="A60" s="28" t="str">
        <f t="shared" si="6"/>
        <v>VSB 59 </v>
      </c>
      <c r="B60" s="3" t="str">
        <f t="shared" si="7"/>
        <v>I</v>
      </c>
      <c r="C60" s="28">
        <f t="shared" si="8"/>
        <v>56807.097000000002</v>
      </c>
      <c r="D60" s="11" t="str">
        <f t="shared" si="9"/>
        <v>vis</v>
      </c>
      <c r="E60" s="46" t="e">
        <f>VLOOKUP(C60,Active!C$21:E$961,3,FALSE)</f>
        <v>#N/A</v>
      </c>
      <c r="F60" s="3" t="s">
        <v>73</v>
      </c>
      <c r="G60" s="11" t="str">
        <f t="shared" si="10"/>
        <v>56807.097</v>
      </c>
      <c r="H60" s="28">
        <f t="shared" si="11"/>
        <v>14807</v>
      </c>
      <c r="I60" s="47" t="s">
        <v>288</v>
      </c>
      <c r="J60" s="48" t="s">
        <v>289</v>
      </c>
      <c r="K60" s="47" t="s">
        <v>290</v>
      </c>
      <c r="L60" s="47" t="s">
        <v>291</v>
      </c>
      <c r="M60" s="48" t="s">
        <v>184</v>
      </c>
      <c r="N60" s="48" t="s">
        <v>145</v>
      </c>
      <c r="O60" s="49" t="s">
        <v>234</v>
      </c>
      <c r="P60" s="50" t="s">
        <v>292</v>
      </c>
    </row>
    <row r="61" spans="1:16" ht="12.75" customHeight="1" thickBot="1" x14ac:dyDescent="0.25">
      <c r="A61" s="28" t="str">
        <f t="shared" si="6"/>
        <v>VSB 59 </v>
      </c>
      <c r="B61" s="3" t="str">
        <f t="shared" si="7"/>
        <v>I</v>
      </c>
      <c r="C61" s="28">
        <f t="shared" si="8"/>
        <v>56807.11</v>
      </c>
      <c r="D61" s="11" t="str">
        <f t="shared" si="9"/>
        <v>vis</v>
      </c>
      <c r="E61" s="46">
        <f>VLOOKUP(C61,Active!C$21:E$961,3,FALSE)</f>
        <v>14806.893398784441</v>
      </c>
      <c r="F61" s="3" t="s">
        <v>73</v>
      </c>
      <c r="G61" s="11" t="str">
        <f t="shared" si="10"/>
        <v>56807.110</v>
      </c>
      <c r="H61" s="28">
        <f t="shared" si="11"/>
        <v>14807</v>
      </c>
      <c r="I61" s="47" t="s">
        <v>293</v>
      </c>
      <c r="J61" s="48" t="s">
        <v>294</v>
      </c>
      <c r="K61" s="47" t="s">
        <v>290</v>
      </c>
      <c r="L61" s="47" t="s">
        <v>295</v>
      </c>
      <c r="M61" s="48" t="s">
        <v>184</v>
      </c>
      <c r="N61" s="48" t="s">
        <v>73</v>
      </c>
      <c r="O61" s="49" t="s">
        <v>234</v>
      </c>
      <c r="P61" s="50" t="s">
        <v>292</v>
      </c>
    </row>
    <row r="62" spans="1:16" ht="12.75" customHeight="1" thickBot="1" x14ac:dyDescent="0.25">
      <c r="A62" s="28" t="str">
        <f t="shared" si="6"/>
        <v>VSB 59 </v>
      </c>
      <c r="B62" s="3" t="str">
        <f t="shared" si="7"/>
        <v>I</v>
      </c>
      <c r="C62" s="28">
        <f t="shared" si="8"/>
        <v>56807.11</v>
      </c>
      <c r="D62" s="11" t="str">
        <f t="shared" si="9"/>
        <v>vis</v>
      </c>
      <c r="E62" s="46">
        <f>VLOOKUP(C62,Active!C$21:E$961,3,FALSE)</f>
        <v>14806.893398784441</v>
      </c>
      <c r="F62" s="3" t="s">
        <v>73</v>
      </c>
      <c r="G62" s="11" t="str">
        <f t="shared" si="10"/>
        <v>56807.110</v>
      </c>
      <c r="H62" s="28">
        <f t="shared" si="11"/>
        <v>14807</v>
      </c>
      <c r="I62" s="47" t="s">
        <v>293</v>
      </c>
      <c r="J62" s="48" t="s">
        <v>294</v>
      </c>
      <c r="K62" s="47" t="s">
        <v>290</v>
      </c>
      <c r="L62" s="47" t="s">
        <v>295</v>
      </c>
      <c r="M62" s="48" t="s">
        <v>184</v>
      </c>
      <c r="N62" s="48" t="s">
        <v>296</v>
      </c>
      <c r="O62" s="49" t="s">
        <v>234</v>
      </c>
      <c r="P62" s="50" t="s">
        <v>292</v>
      </c>
    </row>
    <row r="63" spans="1:16" ht="12.75" customHeight="1" thickBot="1" x14ac:dyDescent="0.25">
      <c r="A63" s="28" t="str">
        <f t="shared" si="6"/>
        <v>BAVM 241 (=IBVS 6157) </v>
      </c>
      <c r="B63" s="3" t="str">
        <f t="shared" si="7"/>
        <v>II</v>
      </c>
      <c r="C63" s="28">
        <f t="shared" si="8"/>
        <v>57179.453500000003</v>
      </c>
      <c r="D63" s="11" t="str">
        <f t="shared" si="9"/>
        <v>vis</v>
      </c>
      <c r="E63" s="46">
        <f>VLOOKUP(C63,Active!C$21:E$961,3,FALSE)</f>
        <v>15150.369200268107</v>
      </c>
      <c r="F63" s="3" t="s">
        <v>73</v>
      </c>
      <c r="G63" s="11" t="str">
        <f t="shared" si="10"/>
        <v>57179.4535</v>
      </c>
      <c r="H63" s="28">
        <f t="shared" si="11"/>
        <v>15150.5</v>
      </c>
      <c r="I63" s="47" t="s">
        <v>307</v>
      </c>
      <c r="J63" s="48" t="s">
        <v>308</v>
      </c>
      <c r="K63" s="47" t="s">
        <v>309</v>
      </c>
      <c r="L63" s="47" t="s">
        <v>310</v>
      </c>
      <c r="M63" s="48" t="s">
        <v>184</v>
      </c>
      <c r="N63" s="48" t="s">
        <v>172</v>
      </c>
      <c r="O63" s="49" t="s">
        <v>123</v>
      </c>
      <c r="P63" s="50" t="s">
        <v>311</v>
      </c>
    </row>
    <row r="64" spans="1:1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8" type="noConversion"/>
  <hyperlinks>
    <hyperlink ref="P45" r:id="rId1" display="http://www.bav-astro.de/sfs/BAVM_link.php?BAVMnr=38"/>
    <hyperlink ref="P46" r:id="rId2" display="http://www.bav-astro.de/sfs/BAVM_link.php?BAVMnr=50"/>
    <hyperlink ref="P47" r:id="rId3" display="http://www.bav-astro.de/sfs/BAVM_link.php?BAVMnr=52"/>
    <hyperlink ref="P48" r:id="rId4" display="http://www.bav-astro.de/sfs/BAVM_link.php?BAVMnr=59"/>
    <hyperlink ref="P49" r:id="rId5" display="http://www.bav-astro.de/sfs/BAVM_link.php?BAVMnr=60"/>
    <hyperlink ref="P50" r:id="rId6" display="http://www.bav-astro.de/sfs/BAVM_link.php?BAVMnr=60"/>
    <hyperlink ref="P51" r:id="rId7" display="http://www.bav-astro.de/sfs/BAVM_link.php?BAVMnr=62"/>
    <hyperlink ref="P52" r:id="rId8" display="http://www.bav-astro.de/sfs/BAVM_link.php?BAVMnr=62"/>
    <hyperlink ref="P53" r:id="rId9" display="http://www.bav-astro.de/sfs/BAVM_link.php?BAVMnr=68"/>
    <hyperlink ref="P54" r:id="rId10" display="http://www.bav-astro.de/sfs/BAVM_link.php?BAVMnr=68"/>
    <hyperlink ref="P12" r:id="rId11" display="http://www.konkoly.hu/cgi-bin/IBVS?5027"/>
    <hyperlink ref="P13" r:id="rId12" display="http://www.konkoly.hu/cgi-bin/IBVS?5027"/>
    <hyperlink ref="P14" r:id="rId13" display="http://www.bav-astro.de/sfs/BAVM_link.php?BAVMnr=152"/>
    <hyperlink ref="P15" r:id="rId14" display="http://www.bav-astro.de/sfs/BAVM_link.php?BAVMnr=158"/>
    <hyperlink ref="P16" r:id="rId15" display="http://www.bav-astro.de/sfs/BAVM_link.php?BAVMnr=178"/>
    <hyperlink ref="P17" r:id="rId16" display="http://www.aavso.org/sites/default/files/jaavso/v37n1/44.pdf"/>
    <hyperlink ref="P18" r:id="rId17" display="http://www.bav-astro.de/sfs/BAVM_link.php?BAVMnr=186"/>
    <hyperlink ref="P19" r:id="rId18" display="http://www.aavso.org/sites/default/files/jaavso/v37n1/44.pdf"/>
    <hyperlink ref="P20" r:id="rId19" display="http://www.bav-astro.de/sfs/BAVM_link.php?BAVMnr=186"/>
    <hyperlink ref="P21" r:id="rId20" display="http://www.aavso.org/sites/default/files/jaavso/v37n1/44.pdf"/>
    <hyperlink ref="P22" r:id="rId21" display="http://www.konkoly.hu/cgi-bin/IBVS?5837"/>
    <hyperlink ref="P23" r:id="rId22" display="http://www.bav-astro.de/sfs/BAVM_link.php?BAVMnr=209"/>
    <hyperlink ref="P24" r:id="rId23" display="http://www.aavso.org/sites/default/files/jaavso/v37n1/44.pdf"/>
    <hyperlink ref="P55" r:id="rId24" display="http://vsolj.cetus-net.org/no48.pdf"/>
    <hyperlink ref="P25" r:id="rId25" display="http://www.bav-astro.de/sfs/BAVM_link.php?BAVMnr=214"/>
    <hyperlink ref="P26" r:id="rId26" display="http://www.konkoly.hu/cgi-bin/IBVS?5938"/>
    <hyperlink ref="P56" r:id="rId27" display="http://var.astro.cz/oejv/issues/oejv0137.pdf"/>
    <hyperlink ref="P57" r:id="rId28" display="http://var.astro.cz/oejv/issues/oejv0137.pdf"/>
    <hyperlink ref="P58" r:id="rId29" display="http://www.konkoly.hu/cgi-bin/IBVS?6095"/>
    <hyperlink ref="P59" r:id="rId30" display="http://www.konkoly.hu/cgi-bin/IBVS?6095"/>
    <hyperlink ref="P60" r:id="rId31" display="http://vsolj.cetus-net.org/vsoljno59.pdf"/>
    <hyperlink ref="P61" r:id="rId32" display="http://vsolj.cetus-net.org/vsoljno59.pdf"/>
    <hyperlink ref="P62" r:id="rId33" display="http://vsolj.cetus-net.org/vsoljno59.pdf"/>
    <hyperlink ref="P31" r:id="rId34" display="http://www.bav-astro.de/sfs/BAVM_link.php?BAVMnr=238"/>
    <hyperlink ref="P63" r:id="rId35" display="http://www.bav-astro.de/sfs/BAVM_link.php?BAVMnr=241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2023-01-14T06:17:03Z</dcterms:modified>
</cp:coreProperties>
</file>