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322C5CA-5CDE-4722-83FD-03F401DF45A9}" xr6:coauthVersionLast="47" xr6:coauthVersionMax="47" xr10:uidLastSave="{00000000-0000-0000-0000-000000000000}"/>
  <bookViews>
    <workbookView xWindow="13395" yWindow="405" windowWidth="12975" windowHeight="14640"/>
  </bookViews>
  <sheets>
    <sheet name="Active 1" sheetId="3" r:id="rId1"/>
    <sheet name="Active 2" sheetId="11" r:id="rId2"/>
    <sheet name="Active 4" sheetId="10" r:id="rId3"/>
    <sheet name="BAV" sheetId="8" r:id="rId4"/>
  </sheets>
  <calcPr calcId="181029"/>
</workbook>
</file>

<file path=xl/calcChain.xml><?xml version="1.0" encoding="utf-8"?>
<calcChain xmlns="http://schemas.openxmlformats.org/spreadsheetml/2006/main">
  <c r="E51" i="10" l="1"/>
  <c r="F51" i="10" s="1"/>
  <c r="G51" i="10" s="1"/>
  <c r="K51" i="10" s="1"/>
  <c r="Q51" i="10"/>
  <c r="E51" i="11"/>
  <c r="F51" i="11" s="1"/>
  <c r="G51" i="11" s="1"/>
  <c r="K51" i="11" s="1"/>
  <c r="Q51" i="11"/>
  <c r="E51" i="3"/>
  <c r="F51" i="3" s="1"/>
  <c r="G51" i="3" s="1"/>
  <c r="K51" i="3" s="1"/>
  <c r="Q51" i="3"/>
  <c r="E49" i="11"/>
  <c r="F49" i="11"/>
  <c r="G49" i="11"/>
  <c r="K49" i="11"/>
  <c r="Q49" i="11"/>
  <c r="E50" i="11"/>
  <c r="F50" i="11"/>
  <c r="G50" i="11"/>
  <c r="K50" i="11"/>
  <c r="Q50" i="11"/>
  <c r="E49" i="10"/>
  <c r="F49" i="10"/>
  <c r="G49" i="10"/>
  <c r="K49" i="10"/>
  <c r="Q49" i="10"/>
  <c r="E50" i="10"/>
  <c r="F50" i="10"/>
  <c r="G50" i="10"/>
  <c r="K50" i="10"/>
  <c r="Q50" i="10"/>
  <c r="Q49" i="3"/>
  <c r="Q50" i="3"/>
  <c r="C7" i="11"/>
  <c r="E36" i="11"/>
  <c r="F36" i="11"/>
  <c r="C9" i="11"/>
  <c r="D9" i="11"/>
  <c r="E38" i="11"/>
  <c r="F38" i="11"/>
  <c r="E41" i="11"/>
  <c r="F41" i="11"/>
  <c r="E43" i="11"/>
  <c r="F43" i="11"/>
  <c r="G43" i="11"/>
  <c r="J43" i="11"/>
  <c r="E46" i="11"/>
  <c r="F46" i="11"/>
  <c r="E26" i="11"/>
  <c r="F26" i="11"/>
  <c r="E28" i="11"/>
  <c r="F28" i="11"/>
  <c r="G28" i="11"/>
  <c r="K28" i="11"/>
  <c r="E31" i="11"/>
  <c r="F31" i="11"/>
  <c r="E34" i="11"/>
  <c r="F34" i="11"/>
  <c r="E21" i="11"/>
  <c r="F21" i="11"/>
  <c r="E24" i="11"/>
  <c r="F24" i="11"/>
  <c r="G24" i="11"/>
  <c r="J24" i="11"/>
  <c r="E25" i="11"/>
  <c r="F25" i="11"/>
  <c r="F16" i="11"/>
  <c r="F17" i="11" s="1"/>
  <c r="C17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C7" i="10"/>
  <c r="E39" i="10"/>
  <c r="F39" i="10"/>
  <c r="C9" i="10"/>
  <c r="D9" i="10"/>
  <c r="E36" i="10"/>
  <c r="F36" i="10"/>
  <c r="E43" i="10"/>
  <c r="F43" i="10"/>
  <c r="E44" i="10"/>
  <c r="F44" i="10"/>
  <c r="E23" i="10"/>
  <c r="F23" i="10"/>
  <c r="G23" i="10"/>
  <c r="J23" i="10"/>
  <c r="E24" i="10"/>
  <c r="F24" i="10"/>
  <c r="E27" i="10"/>
  <c r="F27" i="10"/>
  <c r="G27" i="10"/>
  <c r="K27" i="10"/>
  <c r="E28" i="10"/>
  <c r="F28" i="10"/>
  <c r="E31" i="10"/>
  <c r="F31" i="10"/>
  <c r="G31" i="10"/>
  <c r="K31" i="10"/>
  <c r="E32" i="10"/>
  <c r="F32" i="10"/>
  <c r="E35" i="10"/>
  <c r="F35" i="10"/>
  <c r="G35" i="10"/>
  <c r="J35" i="10"/>
  <c r="F16" i="10"/>
  <c r="F17" i="10" s="1"/>
  <c r="C17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E22" i="3"/>
  <c r="F22" i="3"/>
  <c r="G22" i="3"/>
  <c r="K22" i="3"/>
  <c r="E23" i="3"/>
  <c r="F23" i="3"/>
  <c r="G23" i="3"/>
  <c r="J23" i="3"/>
  <c r="E24" i="3"/>
  <c r="F24" i="3"/>
  <c r="G24" i="3"/>
  <c r="J24" i="3"/>
  <c r="E26" i="3"/>
  <c r="F26" i="3"/>
  <c r="G26" i="3"/>
  <c r="I26" i="3"/>
  <c r="E27" i="3"/>
  <c r="F27" i="3"/>
  <c r="E28" i="3"/>
  <c r="F28" i="3"/>
  <c r="G28" i="3"/>
  <c r="K28" i="3"/>
  <c r="E30" i="3"/>
  <c r="F30" i="3"/>
  <c r="G30" i="3"/>
  <c r="J30" i="3"/>
  <c r="E31" i="3"/>
  <c r="F31" i="3"/>
  <c r="G31" i="3"/>
  <c r="K31" i="3"/>
  <c r="E32" i="3"/>
  <c r="F32" i="3"/>
  <c r="G32" i="3"/>
  <c r="I32" i="3"/>
  <c r="E34" i="3"/>
  <c r="F34" i="3"/>
  <c r="G34" i="3"/>
  <c r="K34" i="3"/>
  <c r="E35" i="3"/>
  <c r="F35" i="3"/>
  <c r="G35" i="3"/>
  <c r="J35" i="3"/>
  <c r="E36" i="3"/>
  <c r="F36" i="3"/>
  <c r="E38" i="3"/>
  <c r="F38" i="3"/>
  <c r="G38" i="3"/>
  <c r="J38" i="3"/>
  <c r="E39" i="3"/>
  <c r="F39" i="3"/>
  <c r="E40" i="3"/>
  <c r="F40" i="3"/>
  <c r="G40" i="3"/>
  <c r="J40" i="3"/>
  <c r="E42" i="3"/>
  <c r="F42" i="3"/>
  <c r="G42" i="3"/>
  <c r="J42" i="3"/>
  <c r="E43" i="3"/>
  <c r="F43" i="3"/>
  <c r="G43" i="3"/>
  <c r="J43" i="3"/>
  <c r="E44" i="3"/>
  <c r="F44" i="3"/>
  <c r="G44" i="3"/>
  <c r="J44" i="3"/>
  <c r="E46" i="3"/>
  <c r="F46" i="3"/>
  <c r="G46" i="3"/>
  <c r="K46" i="3"/>
  <c r="E47" i="3"/>
  <c r="F47" i="3"/>
  <c r="G47" i="3"/>
  <c r="K47" i="3"/>
  <c r="E48" i="3"/>
  <c r="F48" i="3"/>
  <c r="G48" i="3"/>
  <c r="K48" i="3"/>
  <c r="C7" i="3"/>
  <c r="E49" i="3"/>
  <c r="F49" i="3"/>
  <c r="D9" i="3"/>
  <c r="C9" i="3"/>
  <c r="G27" i="3"/>
  <c r="K27" i="3"/>
  <c r="G39" i="3"/>
  <c r="J39" i="3"/>
  <c r="Q46" i="3"/>
  <c r="Q47" i="3"/>
  <c r="Q48" i="3"/>
  <c r="Q26" i="3"/>
  <c r="G31" i="8"/>
  <c r="C31" i="8"/>
  <c r="G30" i="8"/>
  <c r="C30" i="8"/>
  <c r="E30" i="8"/>
  <c r="G29" i="8"/>
  <c r="C29" i="8"/>
  <c r="E29" i="8"/>
  <c r="G28" i="8"/>
  <c r="C28" i="8"/>
  <c r="E28" i="8"/>
  <c r="G27" i="8"/>
  <c r="C27" i="8"/>
  <c r="G26" i="8"/>
  <c r="C26" i="8"/>
  <c r="E26" i="8"/>
  <c r="G25" i="8"/>
  <c r="C25" i="8"/>
  <c r="E25" i="8"/>
  <c r="G24" i="8"/>
  <c r="C24" i="8"/>
  <c r="E24" i="8"/>
  <c r="G23" i="8"/>
  <c r="C23" i="8"/>
  <c r="G22" i="8"/>
  <c r="C22" i="8"/>
  <c r="E22" i="8"/>
  <c r="G21" i="8"/>
  <c r="C21" i="8"/>
  <c r="E21" i="8"/>
  <c r="G20" i="8"/>
  <c r="C20" i="8"/>
  <c r="G19" i="8"/>
  <c r="C19" i="8"/>
  <c r="E19" i="8"/>
  <c r="G33" i="8"/>
  <c r="C33" i="8"/>
  <c r="E33" i="8"/>
  <c r="G18" i="8"/>
  <c r="C18" i="8"/>
  <c r="E18" i="8"/>
  <c r="G17" i="8"/>
  <c r="C17" i="8"/>
  <c r="G16" i="8"/>
  <c r="C16" i="8"/>
  <c r="E16" i="8"/>
  <c r="G15" i="8"/>
  <c r="C15" i="8"/>
  <c r="E15" i="8"/>
  <c r="G32" i="8"/>
  <c r="C32" i="8"/>
  <c r="E32" i="8"/>
  <c r="G14" i="8"/>
  <c r="C14" i="8"/>
  <c r="G13" i="8"/>
  <c r="C13" i="8"/>
  <c r="E13" i="8"/>
  <c r="G12" i="8"/>
  <c r="C12" i="8"/>
  <c r="E12" i="8"/>
  <c r="G11" i="8"/>
  <c r="C11" i="8"/>
  <c r="E11" i="8"/>
  <c r="Q44" i="3"/>
  <c r="Q45" i="3"/>
  <c r="H31" i="8"/>
  <c r="D31" i="8"/>
  <c r="B31" i="8"/>
  <c r="A31" i="8"/>
  <c r="H30" i="8"/>
  <c r="D30" i="8"/>
  <c r="B30" i="8"/>
  <c r="A30" i="8"/>
  <c r="H29" i="8"/>
  <c r="D29" i="8"/>
  <c r="B29" i="8"/>
  <c r="A29" i="8"/>
  <c r="H28" i="8"/>
  <c r="D28" i="8"/>
  <c r="B28" i="8"/>
  <c r="A28" i="8"/>
  <c r="H27" i="8"/>
  <c r="D27" i="8"/>
  <c r="B27" i="8"/>
  <c r="A27" i="8"/>
  <c r="H26" i="8"/>
  <c r="D26" i="8"/>
  <c r="B26" i="8"/>
  <c r="A26" i="8"/>
  <c r="H25" i="8"/>
  <c r="D25" i="8"/>
  <c r="B25" i="8"/>
  <c r="A25" i="8"/>
  <c r="H24" i="8"/>
  <c r="D24" i="8"/>
  <c r="B24" i="8"/>
  <c r="A24" i="8"/>
  <c r="H23" i="8"/>
  <c r="D23" i="8"/>
  <c r="B23" i="8"/>
  <c r="A23" i="8"/>
  <c r="H22" i="8"/>
  <c r="D22" i="8"/>
  <c r="B22" i="8"/>
  <c r="A22" i="8"/>
  <c r="H21" i="8"/>
  <c r="D21" i="8"/>
  <c r="B21" i="8"/>
  <c r="A21" i="8"/>
  <c r="H20" i="8"/>
  <c r="D20" i="8"/>
  <c r="B20" i="8"/>
  <c r="A20" i="8"/>
  <c r="H19" i="8"/>
  <c r="D19" i="8"/>
  <c r="B19" i="8"/>
  <c r="A19" i="8"/>
  <c r="H33" i="8"/>
  <c r="D33" i="8"/>
  <c r="B33" i="8"/>
  <c r="A33" i="8"/>
  <c r="H18" i="8"/>
  <c r="D18" i="8"/>
  <c r="B18" i="8"/>
  <c r="A18" i="8"/>
  <c r="H17" i="8"/>
  <c r="D17" i="8"/>
  <c r="B17" i="8"/>
  <c r="A17" i="8"/>
  <c r="H16" i="8"/>
  <c r="D16" i="8"/>
  <c r="B16" i="8"/>
  <c r="A16" i="8"/>
  <c r="H15" i="8"/>
  <c r="D15" i="8"/>
  <c r="B15" i="8"/>
  <c r="A15" i="8"/>
  <c r="H32" i="8"/>
  <c r="D32" i="8"/>
  <c r="B32" i="8"/>
  <c r="A32" i="8"/>
  <c r="H14" i="8"/>
  <c r="D14" i="8"/>
  <c r="B14" i="8"/>
  <c r="A14" i="8"/>
  <c r="H13" i="8"/>
  <c r="D13" i="8"/>
  <c r="B13" i="8"/>
  <c r="A13" i="8"/>
  <c r="H12" i="8"/>
  <c r="D12" i="8"/>
  <c r="B12" i="8"/>
  <c r="A12" i="8"/>
  <c r="H11" i="8"/>
  <c r="D11" i="8"/>
  <c r="B11" i="8"/>
  <c r="A11" i="8"/>
  <c r="F16" i="3"/>
  <c r="F17" i="3" s="1"/>
  <c r="Q32" i="3"/>
  <c r="Q43" i="3"/>
  <c r="Q42" i="3"/>
  <c r="Q41" i="3"/>
  <c r="Q40" i="3"/>
  <c r="Q37" i="3"/>
  <c r="Q39" i="3"/>
  <c r="Q38" i="3"/>
  <c r="Q36" i="3"/>
  <c r="Q25" i="3"/>
  <c r="Q35" i="3"/>
  <c r="Q34" i="3"/>
  <c r="C17" i="3"/>
  <c r="Q33" i="3"/>
  <c r="Q21" i="3"/>
  <c r="Q22" i="3"/>
  <c r="Q23" i="3"/>
  <c r="Q24" i="3"/>
  <c r="Q27" i="3"/>
  <c r="Q28" i="3"/>
  <c r="Q29" i="3"/>
  <c r="Q30" i="3"/>
  <c r="Q31" i="3"/>
  <c r="G43" i="10"/>
  <c r="J43" i="10"/>
  <c r="E41" i="10"/>
  <c r="F41" i="10"/>
  <c r="G50" i="3"/>
  <c r="K50" i="3"/>
  <c r="E46" i="10"/>
  <c r="F46" i="10"/>
  <c r="G46" i="10"/>
  <c r="K46" i="10"/>
  <c r="E38" i="10"/>
  <c r="F38" i="10"/>
  <c r="G38" i="10"/>
  <c r="J38" i="10"/>
  <c r="E33" i="11"/>
  <c r="F33" i="11"/>
  <c r="G33" i="11"/>
  <c r="K33" i="11"/>
  <c r="E48" i="11"/>
  <c r="F48" i="11"/>
  <c r="G48" i="11"/>
  <c r="K48" i="11"/>
  <c r="E40" i="11"/>
  <c r="F40" i="11"/>
  <c r="G40" i="11"/>
  <c r="J40" i="11"/>
  <c r="E23" i="11"/>
  <c r="F23" i="11"/>
  <c r="G23" i="11"/>
  <c r="J23" i="11"/>
  <c r="E30" i="11"/>
  <c r="F30" i="11"/>
  <c r="G30" i="11"/>
  <c r="J30" i="11"/>
  <c r="G47" i="11"/>
  <c r="K47" i="11"/>
  <c r="E45" i="11"/>
  <c r="F45" i="11"/>
  <c r="G45" i="11"/>
  <c r="J45" i="11"/>
  <c r="E37" i="11"/>
  <c r="F37" i="11"/>
  <c r="G37" i="11"/>
  <c r="J37" i="11"/>
  <c r="E50" i="3"/>
  <c r="F50" i="3"/>
  <c r="G36" i="3"/>
  <c r="G32" i="10"/>
  <c r="I32" i="10"/>
  <c r="G30" i="10"/>
  <c r="J30" i="10"/>
  <c r="G28" i="10"/>
  <c r="K28" i="10"/>
  <c r="G24" i="10"/>
  <c r="J24" i="10"/>
  <c r="E48" i="10"/>
  <c r="F48" i="10"/>
  <c r="G48" i="10"/>
  <c r="K48" i="10"/>
  <c r="E40" i="10"/>
  <c r="F40" i="10"/>
  <c r="G40" i="10"/>
  <c r="J40" i="10"/>
  <c r="G25" i="11"/>
  <c r="K25" i="11"/>
  <c r="G21" i="11"/>
  <c r="H21" i="11"/>
  <c r="E35" i="11"/>
  <c r="F35" i="11"/>
  <c r="G35" i="11"/>
  <c r="J35" i="11"/>
  <c r="E27" i="11"/>
  <c r="F27" i="11"/>
  <c r="G27" i="11"/>
  <c r="K27" i="11"/>
  <c r="E42" i="11"/>
  <c r="F42" i="11"/>
  <c r="G42" i="11"/>
  <c r="J42" i="11"/>
  <c r="G36" i="11"/>
  <c r="J36" i="11"/>
  <c r="E45" i="3"/>
  <c r="F45" i="3"/>
  <c r="G45" i="3"/>
  <c r="J45" i="3"/>
  <c r="E41" i="3"/>
  <c r="F41" i="3"/>
  <c r="G41" i="3"/>
  <c r="J41" i="3"/>
  <c r="E37" i="3"/>
  <c r="F37" i="3"/>
  <c r="G37" i="3"/>
  <c r="J37" i="3"/>
  <c r="E33" i="3"/>
  <c r="E29" i="3"/>
  <c r="F29" i="3"/>
  <c r="G29" i="3"/>
  <c r="J29" i="3"/>
  <c r="E25" i="3"/>
  <c r="E21" i="3"/>
  <c r="F21" i="3"/>
  <c r="G21" i="3"/>
  <c r="H21" i="3"/>
  <c r="E34" i="10"/>
  <c r="F34" i="10"/>
  <c r="G34" i="10"/>
  <c r="K34" i="10"/>
  <c r="E30" i="10"/>
  <c r="F30" i="10"/>
  <c r="E26" i="10"/>
  <c r="F26" i="10"/>
  <c r="G26" i="10"/>
  <c r="I26" i="10"/>
  <c r="E22" i="10"/>
  <c r="F22" i="10"/>
  <c r="G22" i="10"/>
  <c r="K22" i="10"/>
  <c r="E45" i="10"/>
  <c r="F45" i="10"/>
  <c r="G45" i="10"/>
  <c r="J45" i="10"/>
  <c r="G39" i="10"/>
  <c r="J39" i="10"/>
  <c r="E37" i="10"/>
  <c r="F37" i="10"/>
  <c r="G37" i="10"/>
  <c r="J37" i="10"/>
  <c r="E22" i="11"/>
  <c r="F22" i="11"/>
  <c r="G22" i="11"/>
  <c r="K22" i="11"/>
  <c r="G34" i="11"/>
  <c r="K34" i="11"/>
  <c r="E32" i="11"/>
  <c r="F32" i="11"/>
  <c r="G32" i="11"/>
  <c r="I32" i="11"/>
  <c r="G26" i="11"/>
  <c r="E47" i="11"/>
  <c r="F47" i="11"/>
  <c r="G41" i="11"/>
  <c r="J41" i="11"/>
  <c r="E39" i="11"/>
  <c r="F39" i="11"/>
  <c r="G39" i="11"/>
  <c r="J39" i="11"/>
  <c r="G49" i="3"/>
  <c r="K49" i="3"/>
  <c r="G44" i="10"/>
  <c r="J44" i="10"/>
  <c r="E42" i="10"/>
  <c r="F42" i="10"/>
  <c r="G42" i="10"/>
  <c r="J42" i="10"/>
  <c r="G36" i="10"/>
  <c r="G31" i="11"/>
  <c r="K31" i="11"/>
  <c r="E29" i="11"/>
  <c r="F29" i="11"/>
  <c r="G29" i="11"/>
  <c r="J29" i="11"/>
  <c r="G46" i="11"/>
  <c r="K46" i="11"/>
  <c r="E44" i="11"/>
  <c r="F44" i="11"/>
  <c r="G44" i="11"/>
  <c r="J44" i="11"/>
  <c r="G38" i="11"/>
  <c r="J38" i="11"/>
  <c r="E33" i="10"/>
  <c r="F33" i="10"/>
  <c r="G33" i="10"/>
  <c r="K33" i="10"/>
  <c r="E29" i="10"/>
  <c r="F29" i="10"/>
  <c r="G29" i="10"/>
  <c r="J29" i="10"/>
  <c r="E25" i="10"/>
  <c r="F25" i="10"/>
  <c r="G25" i="10"/>
  <c r="K25" i="10"/>
  <c r="E21" i="10"/>
  <c r="F21" i="10"/>
  <c r="G21" i="10"/>
  <c r="H21" i="10"/>
  <c r="E47" i="10"/>
  <c r="F47" i="10"/>
  <c r="G47" i="10"/>
  <c r="K47" i="10"/>
  <c r="G41" i="10"/>
  <c r="J41" i="10"/>
  <c r="F25" i="3"/>
  <c r="G25" i="3"/>
  <c r="K25" i="3"/>
  <c r="E14" i="8"/>
  <c r="I26" i="11"/>
  <c r="E20" i="8"/>
  <c r="F33" i="3"/>
  <c r="G33" i="3"/>
  <c r="K33" i="3"/>
  <c r="J36" i="3"/>
  <c r="E27" i="8"/>
  <c r="J36" i="10"/>
  <c r="E31" i="8"/>
  <c r="E17" i="8"/>
  <c r="E23" i="8"/>
  <c r="C12" i="3"/>
  <c r="C11" i="3"/>
  <c r="C11" i="11"/>
  <c r="C12" i="11"/>
  <c r="C12" i="10"/>
  <c r="C11" i="10"/>
  <c r="O51" i="10" l="1"/>
  <c r="O51" i="11"/>
  <c r="O51" i="3"/>
  <c r="O48" i="10"/>
  <c r="O33" i="10"/>
  <c r="O44" i="10"/>
  <c r="O39" i="10"/>
  <c r="O49" i="10"/>
  <c r="O34" i="10"/>
  <c r="O45" i="10"/>
  <c r="O35" i="10"/>
  <c r="O22" i="10"/>
  <c r="O47" i="10"/>
  <c r="O21" i="10"/>
  <c r="O43" i="10"/>
  <c r="O24" i="10"/>
  <c r="C15" i="10"/>
  <c r="O36" i="10"/>
  <c r="O23" i="10"/>
  <c r="O38" i="10"/>
  <c r="O26" i="10"/>
  <c r="O42" i="10"/>
  <c r="O31" i="10"/>
  <c r="O25" i="10"/>
  <c r="O46" i="10"/>
  <c r="O28" i="10"/>
  <c r="O40" i="10"/>
  <c r="O27" i="10"/>
  <c r="O41" i="10"/>
  <c r="O30" i="10"/>
  <c r="O50" i="10"/>
  <c r="O29" i="10"/>
  <c r="O37" i="10"/>
  <c r="O32" i="10"/>
  <c r="C16" i="10"/>
  <c r="D18" i="10" s="1"/>
  <c r="C16" i="11"/>
  <c r="D18" i="11" s="1"/>
  <c r="O29" i="11"/>
  <c r="O43" i="11"/>
  <c r="O33" i="11"/>
  <c r="O37" i="11"/>
  <c r="O47" i="11"/>
  <c r="O41" i="11"/>
  <c r="O26" i="11"/>
  <c r="O45" i="11"/>
  <c r="O30" i="11"/>
  <c r="O28" i="11"/>
  <c r="O24" i="11"/>
  <c r="O34" i="11"/>
  <c r="O32" i="11"/>
  <c r="O38" i="11"/>
  <c r="O36" i="11"/>
  <c r="O35" i="11"/>
  <c r="O50" i="11"/>
  <c r="O42" i="11"/>
  <c r="O40" i="11"/>
  <c r="O46" i="11"/>
  <c r="O44" i="11"/>
  <c r="O25" i="11"/>
  <c r="O49" i="11"/>
  <c r="O31" i="11"/>
  <c r="O48" i="11"/>
  <c r="O21" i="11"/>
  <c r="O39" i="11"/>
  <c r="O22" i="11"/>
  <c r="O27" i="11"/>
  <c r="O23" i="11"/>
  <c r="C15" i="11"/>
  <c r="O32" i="3"/>
  <c r="O34" i="3"/>
  <c r="O28" i="3"/>
  <c r="O21" i="3"/>
  <c r="O37" i="3"/>
  <c r="C15" i="3"/>
  <c r="O40" i="3"/>
  <c r="O36" i="3"/>
  <c r="O31" i="3"/>
  <c r="O38" i="3"/>
  <c r="O42" i="3"/>
  <c r="O48" i="3"/>
  <c r="O50" i="3"/>
  <c r="O30" i="3"/>
  <c r="O43" i="3"/>
  <c r="O49" i="3"/>
  <c r="O46" i="3"/>
  <c r="O22" i="3"/>
  <c r="O33" i="3"/>
  <c r="O25" i="3"/>
  <c r="O41" i="3"/>
  <c r="O26" i="3"/>
  <c r="O45" i="3"/>
  <c r="O39" i="3"/>
  <c r="O23" i="3"/>
  <c r="O44" i="3"/>
  <c r="O27" i="3"/>
  <c r="O47" i="3"/>
  <c r="O24" i="3"/>
  <c r="O35" i="3"/>
  <c r="O29" i="3"/>
  <c r="C16" i="3"/>
  <c r="D18" i="3" s="1"/>
  <c r="F18" i="11" l="1"/>
  <c r="F19" i="11" s="1"/>
  <c r="C18" i="3"/>
  <c r="C18" i="10"/>
  <c r="C18" i="11"/>
  <c r="F18" i="3"/>
  <c r="F19" i="3" s="1"/>
  <c r="F18" i="10"/>
  <c r="F19" i="10" s="1"/>
</calcChain>
</file>

<file path=xl/sharedStrings.xml><?xml version="1.0" encoding="utf-8"?>
<sst xmlns="http://schemas.openxmlformats.org/spreadsheetml/2006/main" count="515" uniqueCount="198">
  <si>
    <t>IBVS 6244</t>
  </si>
  <si>
    <t>IBVS 6196</t>
  </si>
  <si>
    <t>New period found by ToMcat 2017-11-30</t>
  </si>
  <si>
    <t>Poor fit</t>
  </si>
  <si>
    <t>VSX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</si>
  <si>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</si>
  <si>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</si>
  <si>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</si>
  <si>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</si>
  <si>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</si>
  <si>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</si>
  <si>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</si>
  <si>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</si>
  <si>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</si>
  <si>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</si>
  <si>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</si>
  <si>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</si>
  <si>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</si>
  <si>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</si>
  <si>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</si>
  <si>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</si>
  <si>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</si>
  <si>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</si>
  <si>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</si>
  <si>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</si>
  <si>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</si>
  <si>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</si>
  <si>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</si>
  <si>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</si>
  <si>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</si>
  <si>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</si>
  <si>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</si>
  <si>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Blaettler E</t>
  </si>
  <si>
    <t>BBSAG Bull.118</t>
  </si>
  <si>
    <t>B</t>
  </si>
  <si>
    <t>IBVS 4888</t>
  </si>
  <si>
    <t>IBVS 5603</t>
  </si>
  <si>
    <t>I</t>
  </si>
  <si>
    <t>EW/KE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</si>
  <si>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</si>
  <si>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</si>
  <si>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</si>
  <si>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</si>
  <si>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</si>
  <si>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</si>
  <si>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</si>
  <si>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</si>
  <si>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</si>
  <si>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5837</t>
  </si>
  <si>
    <t>OEJV 0074</t>
  </si>
  <si>
    <t>OEJV 0094</t>
  </si>
  <si>
    <t>OEJV</t>
  </si>
  <si>
    <t>IBVS 5945</t>
  </si>
  <si>
    <t>Add cycle</t>
  </si>
  <si>
    <t>Old Cycle</t>
  </si>
  <si>
    <t>IBVS 6010</t>
  </si>
  <si>
    <t>BAD?</t>
  </si>
  <si>
    <t>IBVS 6048</t>
  </si>
  <si>
    <t>IBVS 6084</t>
  </si>
  <si>
    <t>V0732 Her / gsc 3098-0397</t>
  </si>
  <si>
    <t>IBVS 6118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</si>
  <si>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</si>
  <si>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</si>
  <si>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</si>
  <si>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</si>
  <si>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</si>
  <si>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</si>
  <si>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</si>
  <si>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</si>
  <si>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</si>
  <si>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</si>
  <si>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</si>
  <si>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</si>
  <si>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</si>
  <si>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6157</t>
  </si>
  <si>
    <t>2450899.5045 </t>
  </si>
  <si>
    <t> 27.03.1998 00:06 </t>
  </si>
  <si>
    <t> 0.0982 </t>
  </si>
  <si>
    <t>E </t>
  </si>
  <si>
    <t>?</t>
  </si>
  <si>
    <t> J.Safar </t>
  </si>
  <si>
    <t>IBVS 4888 </t>
  </si>
  <si>
    <t>2451040.4207 </t>
  </si>
  <si>
    <t> 14.08.1998 22:05 </t>
  </si>
  <si>
    <t> 0.1774 </t>
  </si>
  <si>
    <t> E.Blättler </t>
  </si>
  <si>
    <t> BBS 118 </t>
  </si>
  <si>
    <t>2451120.2815 </t>
  </si>
  <si>
    <t> 02.11.1998 18:45 </t>
  </si>
  <si>
    <t> 0.1605 </t>
  </si>
  <si>
    <t>2452061.43164 </t>
  </si>
  <si>
    <t> 31.05.2001 22:21 </t>
  </si>
  <si>
    <t> 0.12011 </t>
  </si>
  <si>
    <t>C </t>
  </si>
  <si>
    <t>o</t>
  </si>
  <si>
    <t> J.Šafár </t>
  </si>
  <si>
    <t>OEJV 0074 </t>
  </si>
  <si>
    <t>2452483.463 </t>
  </si>
  <si>
    <t> 27.07.2002 23:06 </t>
  </si>
  <si>
    <t> 0.166 </t>
  </si>
  <si>
    <t> BBS 128 </t>
  </si>
  <si>
    <t>2453174.841 </t>
  </si>
  <si>
    <t> 18.06.2004 08:11 </t>
  </si>
  <si>
    <t> 0.234 </t>
  </si>
  <si>
    <t> S.Dvorak </t>
  </si>
  <si>
    <t>IBVS 5603 </t>
  </si>
  <si>
    <t>2453815.940 </t>
  </si>
  <si>
    <t> 21.03.2006 10:33 </t>
  </si>
  <si>
    <t> 0.209 </t>
  </si>
  <si>
    <t>R</t>
  </si>
  <si>
    <t> R. Nelson </t>
  </si>
  <si>
    <t>IBVS 5760 </t>
  </si>
  <si>
    <t>2453849.4764 </t>
  </si>
  <si>
    <t> 23.04.2006 23:26 </t>
  </si>
  <si>
    <t> 0.1130 </t>
  </si>
  <si>
    <t>-I</t>
  </si>
  <si>
    <t> Agerer </t>
  </si>
  <si>
    <t>BAVM 178 </t>
  </si>
  <si>
    <t>2454297.536 </t>
  </si>
  <si>
    <t> 16.07.2007 00:51 </t>
  </si>
  <si>
    <t>24235.5</t>
  </si>
  <si>
    <t> 0.174 </t>
  </si>
  <si>
    <t> R.Diethelm </t>
  </si>
  <si>
    <t>IBVS 5837 </t>
  </si>
  <si>
    <t>2454584.3546 </t>
  </si>
  <si>
    <t> 27.04.2008 20:30 </t>
  </si>
  <si>
    <t>24781</t>
  </si>
  <si>
    <t> 0.3266 </t>
  </si>
  <si>
    <t> F.Lomoz </t>
  </si>
  <si>
    <t>OEJV 0094 </t>
  </si>
  <si>
    <t>2454778.078 </t>
  </si>
  <si>
    <t> 07.11.2008 13:52 </t>
  </si>
  <si>
    <t>25150</t>
  </si>
  <si>
    <t> 0.136 </t>
  </si>
  <si>
    <t> A.Paschke </t>
  </si>
  <si>
    <t>OEJV 0172 </t>
  </si>
  <si>
    <t>2455321.714 </t>
  </si>
  <si>
    <t> 05.05.2010 05:08 </t>
  </si>
  <si>
    <t>26184.5</t>
  </si>
  <si>
    <t> 0.131 </t>
  </si>
  <si>
    <t>IBVS 5945 </t>
  </si>
  <si>
    <t>2455685.5983 </t>
  </si>
  <si>
    <t> 04.05.2011 02:21 </t>
  </si>
  <si>
    <t>26877</t>
  </si>
  <si>
    <t> 0.0988 </t>
  </si>
  <si>
    <t> U.Schmidt </t>
  </si>
  <si>
    <t>BAVM 220 </t>
  </si>
  <si>
    <t>2456055.5117 </t>
  </si>
  <si>
    <t> 08.05.2012 00:16 </t>
  </si>
  <si>
    <t>27581</t>
  </si>
  <si>
    <t> 0.0523 </t>
  </si>
  <si>
    <t> F.Agerer </t>
  </si>
  <si>
    <t>BAVM 228 </t>
  </si>
  <si>
    <t>2456390.4668 </t>
  </si>
  <si>
    <t> 07.04.2013 23:12 </t>
  </si>
  <si>
    <t>28218.5</t>
  </si>
  <si>
    <t> -0.0060 </t>
  </si>
  <si>
    <t>BAVM 234 </t>
  </si>
  <si>
    <t>2456450.4204 </t>
  </si>
  <si>
    <t> 06.06.2013 22:05 </t>
  </si>
  <si>
    <t>28332.5</t>
  </si>
  <si>
    <t> 0.0393 </t>
  </si>
  <si>
    <t> H.Jungbluth </t>
  </si>
  <si>
    <t>BAVM 232 </t>
  </si>
  <si>
    <t>2456451.4906 </t>
  </si>
  <si>
    <t> 07.06.2013 23:46 </t>
  </si>
  <si>
    <t>28334.5</t>
  </si>
  <si>
    <t> 0.0585 </t>
  </si>
  <si>
    <t>2456492.5187 </t>
  </si>
  <si>
    <t> 19.07.2013 00:26 </t>
  </si>
  <si>
    <t>28412.5</t>
  </si>
  <si>
    <t> 0.0967 </t>
  </si>
  <si>
    <t>2456496.4227 </t>
  </si>
  <si>
    <t> 22.07.2013 22:08 </t>
  </si>
  <si>
    <t>28420</t>
  </si>
  <si>
    <t> 0.0594 </t>
  </si>
  <si>
    <t>2456506.4385 </t>
  </si>
  <si>
    <t> 01.08.2013 22:31 </t>
  </si>
  <si>
    <t>28439</t>
  </si>
  <si>
    <t> 0.0905 </t>
  </si>
  <si>
    <t>2456827.4536 </t>
  </si>
  <si>
    <t> 18.06.2014 22:53 </t>
  </si>
  <si>
    <t>29050</t>
  </si>
  <si>
    <t> 0.0182 </t>
  </si>
  <si>
    <t>BAVM 239 </t>
  </si>
  <si>
    <t>2457133.5262 </t>
  </si>
  <si>
    <t> 21.04.2015 00:37 </t>
  </si>
  <si>
    <t>29632.5</t>
  </si>
  <si>
    <t> -0.0194 </t>
  </si>
  <si>
    <t>BAVM 241 (=IBVS 6157) </t>
  </si>
  <si>
    <t>2457158.5368 </t>
  </si>
  <si>
    <t> 16.05.2015 00:52 </t>
  </si>
  <si>
    <t>29680</t>
  </si>
  <si>
    <t> 0.0294 </t>
  </si>
  <si>
    <t>II</t>
  </si>
  <si>
    <t>GCVS</t>
  </si>
  <si>
    <t>JBAV, 60</t>
  </si>
  <si>
    <t>V0732 Her / GSC 3098-0397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</si>
</sst>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176" fontId="18" fillId="0" borderId="0" xfId="0" applyNumberFormat="1" applyFont="1" applyFill="1" applyBorder="1" applyAlignment="1" applyProtection="1">
      <alignment horizontal="left"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40" fillId="0" borderId="0" xfId="0" applyFont="1" applyAlignment="1"/>
    <xf numFmtId="0" fontId="41" fillId="0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0" fillId="25" borderId="0" xfId="0" applyFont="1" applyFill="1" applyAlignment="1"/>
    <xf numFmtId="0" fontId="20" fillId="26" borderId="0" xfId="0" applyFont="1" applyFill="1" applyAlignment="1"/>
    <xf numFmtId="0" fontId="0" fillId="0" borderId="0" xfId="0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lef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7" fontId="43" fillId="0" borderId="0" xfId="0" applyNumberFormat="1" applyFont="1" applyAlignment="1">
      <alignment vertical="center" wrapText="1"/>
    </xf>
    <xf numFmtId="0" fontId="44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602149207788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0670113898399"/>
          <c:y val="0.14723926380368099"/>
          <c:w val="0.8027936893162517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-0.71345999999903142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342-9B9B-A76C15056FF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5">
                  <c:v>-5.2774999996472616E-2</c:v>
                </c:pt>
                <c:pt idx="11">
                  <c:v>7.4865000002318993E-2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342-9B9B-A76C15056FF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2">
                  <c:v>-0.12222499999916181</c:v>
                </c:pt>
                <c:pt idx="3">
                  <c:v>-0.16894499999762047</c:v>
                </c:pt>
                <c:pt idx="8">
                  <c:v>4.1454999998677522E-2</c:v>
                </c:pt>
                <c:pt idx="9">
                  <c:v>4.8175000003539026E-2</c:v>
                </c:pt>
                <c:pt idx="14">
                  <c:v>7.4045000001206063E-2</c:v>
                </c:pt>
                <c:pt idx="15">
                  <c:v>5.8435000006284099E-2</c:v>
                </c:pt>
                <c:pt idx="16">
                  <c:v>4.4065000001864973E-2</c:v>
                </c:pt>
                <c:pt idx="17">
                  <c:v>6.7025000003923196E-2</c:v>
                </c:pt>
                <c:pt idx="18">
                  <c:v>6.7035000000032596E-2</c:v>
                </c:pt>
                <c:pt idx="19">
                  <c:v>7.1185000000696164E-2</c:v>
                </c:pt>
                <c:pt idx="20">
                  <c:v>5.115500000101747E-2</c:v>
                </c:pt>
                <c:pt idx="21">
                  <c:v>7.851499999378575E-2</c:v>
                </c:pt>
                <c:pt idx="22">
                  <c:v>3.6615000004530884E-2</c:v>
                </c:pt>
                <c:pt idx="23">
                  <c:v>3.4875000004831236E-2</c:v>
                </c:pt>
                <c:pt idx="24">
                  <c:v>7.4375000003783498E-2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342-9B9B-A76C15056FF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-0.13007499999366701</c:v>
                </c:pt>
                <c:pt idx="4">
                  <c:v>-7.2544999995443504E-2</c:v>
                </c:pt>
                <c:pt idx="6">
                  <c:v>-1.7514999999548309E-2</c:v>
                </c:pt>
                <c:pt idx="7">
                  <c:v>3.7674999999580905E-2</c:v>
                </c:pt>
                <c:pt idx="10">
                  <c:v>5.5914999997185078E-2</c:v>
                </c:pt>
                <c:pt idx="12">
                  <c:v>5.4345000004104804E-2</c:v>
                </c:pt>
                <c:pt idx="13">
                  <c:v>5.4345000004104804E-2</c:v>
                </c:pt>
                <c:pt idx="25">
                  <c:v>2.7225000005273614E-2</c:v>
                </c:pt>
                <c:pt idx="26">
                  <c:v>4.244499999913387E-2</c:v>
                </c:pt>
                <c:pt idx="27">
                  <c:v>5.6665000003704336E-2</c:v>
                </c:pt>
                <c:pt idx="28">
                  <c:v>6.076500000199303E-2</c:v>
                </c:pt>
                <c:pt idx="29">
                  <c:v>6.5784999998868443E-2</c:v>
                </c:pt>
                <c:pt idx="30">
                  <c:v>7.2614999997313134E-2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342-9B9B-A76C15056FF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342-9B9B-A76C15056FF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342-9B9B-A76C15056FF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342-9B9B-A76C15056FF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4.2458363651938724E-2</c:v>
                </c:pt>
                <c:pt idx="1">
                  <c:v>5.1072608198521399E-2</c:v>
                </c:pt>
                <c:pt idx="2">
                  <c:v>5.1202601000794525E-2</c:v>
                </c:pt>
                <c:pt idx="3">
                  <c:v>5.1276318438032958E-2</c:v>
                </c:pt>
                <c:pt idx="4">
                  <c:v>5.2144472899796249E-2</c:v>
                </c:pt>
                <c:pt idx="5">
                  <c:v>5.253379311521171E-2</c:v>
                </c:pt>
                <c:pt idx="6">
                  <c:v>5.3171580585604908E-2</c:v>
                </c:pt>
                <c:pt idx="7">
                  <c:v>5.3762965562022133E-2</c:v>
                </c:pt>
                <c:pt idx="8">
                  <c:v>5.3793900558006119E-2</c:v>
                </c:pt>
                <c:pt idx="9">
                  <c:v>5.4207244759664458E-2</c:v>
                </c:pt>
                <c:pt idx="10">
                  <c:v>5.4471837704038101E-2</c:v>
                </c:pt>
                <c:pt idx="11">
                  <c:v>5.4650536670200908E-2</c:v>
                </c:pt>
                <c:pt idx="12">
                  <c:v>5.5152078519983792E-2</c:v>
                </c:pt>
                <c:pt idx="13">
                  <c:v>5.5152078519983792E-2</c:v>
                </c:pt>
                <c:pt idx="14">
                  <c:v>5.5487756135980212E-2</c:v>
                </c:pt>
                <c:pt idx="15">
                  <c:v>5.5829028378909913E-2</c:v>
                </c:pt>
                <c:pt idx="16">
                  <c:v>5.6138049243047793E-2</c:v>
                </c:pt>
                <c:pt idx="17">
                  <c:v>5.6193337320976616E-2</c:v>
                </c:pt>
                <c:pt idx="18">
                  <c:v>5.6194324608082491E-2</c:v>
                </c:pt>
                <c:pt idx="19">
                  <c:v>5.6232170613807572E-2</c:v>
                </c:pt>
                <c:pt idx="20">
                  <c:v>5.6235790666529104E-2</c:v>
                </c:pt>
                <c:pt idx="21">
                  <c:v>5.6245005346183909E-2</c:v>
                </c:pt>
                <c:pt idx="22">
                  <c:v>5.6541191477945452E-2</c:v>
                </c:pt>
                <c:pt idx="23">
                  <c:v>5.6823555590224797E-2</c:v>
                </c:pt>
                <c:pt idx="24">
                  <c:v>5.6846592289361807E-2</c:v>
                </c:pt>
                <c:pt idx="25">
                  <c:v>5.7174042512809296E-2</c:v>
                </c:pt>
                <c:pt idx="26">
                  <c:v>5.7176017087021039E-2</c:v>
                </c:pt>
                <c:pt idx="27">
                  <c:v>5.7187864532291501E-2</c:v>
                </c:pt>
                <c:pt idx="28">
                  <c:v>5.7530124062327069E-2</c:v>
                </c:pt>
                <c:pt idx="29">
                  <c:v>5.7548553421636679E-2</c:v>
                </c:pt>
                <c:pt idx="30">
                  <c:v>5.8884352875881257E-2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342-9B9B-A76C15056FF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342-9B9B-A76C1505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89488"/>
        <c:axId val="1"/>
      </c:scatterChart>
      <c:valAx>
        <c:axId val="47418948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1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27408354060449E-2"/>
          <c:y val="0.92638036809815949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5401062672044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4678942920199375"/>
          <c:w val="0.806620895222750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-0.71345999999903142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3-4718-917B-8ED5276F661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5">
                  <c:v>-5.2774999996472616E-2</c:v>
                </c:pt>
                <c:pt idx="11">
                  <c:v>7.4865000002318993E-2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D3-4718-917B-8ED5276F661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2">
                  <c:v>-0.12222499999916181</c:v>
                </c:pt>
                <c:pt idx="3">
                  <c:v>-0.16894499999762047</c:v>
                </c:pt>
                <c:pt idx="8">
                  <c:v>4.1454999998677522E-2</c:v>
                </c:pt>
                <c:pt idx="9">
                  <c:v>4.8175000003539026E-2</c:v>
                </c:pt>
                <c:pt idx="14">
                  <c:v>7.4045000001206063E-2</c:v>
                </c:pt>
                <c:pt idx="15">
                  <c:v>5.8435000006284099E-2</c:v>
                </c:pt>
                <c:pt idx="16">
                  <c:v>4.4065000001864973E-2</c:v>
                </c:pt>
                <c:pt idx="17">
                  <c:v>6.7025000003923196E-2</c:v>
                </c:pt>
                <c:pt idx="18">
                  <c:v>6.7035000000032596E-2</c:v>
                </c:pt>
                <c:pt idx="19">
                  <c:v>7.1185000000696164E-2</c:v>
                </c:pt>
                <c:pt idx="20">
                  <c:v>5.115500000101747E-2</c:v>
                </c:pt>
                <c:pt idx="21">
                  <c:v>7.851499999378575E-2</c:v>
                </c:pt>
                <c:pt idx="22">
                  <c:v>3.6615000004530884E-2</c:v>
                </c:pt>
                <c:pt idx="23">
                  <c:v>3.4875000004831236E-2</c:v>
                </c:pt>
                <c:pt idx="24">
                  <c:v>7.4375000003783498E-2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D3-4718-917B-8ED5276F661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-0.13007499999366701</c:v>
                </c:pt>
                <c:pt idx="4">
                  <c:v>-7.2544999995443504E-2</c:v>
                </c:pt>
                <c:pt idx="6">
                  <c:v>-1.7514999999548309E-2</c:v>
                </c:pt>
                <c:pt idx="7">
                  <c:v>3.7674999999580905E-2</c:v>
                </c:pt>
                <c:pt idx="10">
                  <c:v>5.5914999997185078E-2</c:v>
                </c:pt>
                <c:pt idx="12">
                  <c:v>5.4345000004104804E-2</c:v>
                </c:pt>
                <c:pt idx="13">
                  <c:v>5.4345000004104804E-2</c:v>
                </c:pt>
                <c:pt idx="25">
                  <c:v>2.7225000005273614E-2</c:v>
                </c:pt>
                <c:pt idx="26">
                  <c:v>4.244499999913387E-2</c:v>
                </c:pt>
                <c:pt idx="27">
                  <c:v>5.6665000003704336E-2</c:v>
                </c:pt>
                <c:pt idx="28">
                  <c:v>6.076500000199303E-2</c:v>
                </c:pt>
                <c:pt idx="29">
                  <c:v>6.5784999998868443E-2</c:v>
                </c:pt>
                <c:pt idx="30">
                  <c:v>7.2614999997313134E-2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D3-4718-917B-8ED5276F661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D3-4718-917B-8ED5276F661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D3-4718-917B-8ED5276F661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D3-4718-917B-8ED5276F661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4.2458363651938724E-2</c:v>
                </c:pt>
                <c:pt idx="1">
                  <c:v>5.1072608198521399E-2</c:v>
                </c:pt>
                <c:pt idx="2">
                  <c:v>5.1202601000794525E-2</c:v>
                </c:pt>
                <c:pt idx="3">
                  <c:v>5.1276318438032958E-2</c:v>
                </c:pt>
                <c:pt idx="4">
                  <c:v>5.2144472899796249E-2</c:v>
                </c:pt>
                <c:pt idx="5">
                  <c:v>5.253379311521171E-2</c:v>
                </c:pt>
                <c:pt idx="6">
                  <c:v>5.3171580585604908E-2</c:v>
                </c:pt>
                <c:pt idx="7">
                  <c:v>5.3762965562022133E-2</c:v>
                </c:pt>
                <c:pt idx="8">
                  <c:v>5.3793900558006119E-2</c:v>
                </c:pt>
                <c:pt idx="9">
                  <c:v>5.4207244759664458E-2</c:v>
                </c:pt>
                <c:pt idx="10">
                  <c:v>5.4471837704038101E-2</c:v>
                </c:pt>
                <c:pt idx="11">
                  <c:v>5.4650536670200908E-2</c:v>
                </c:pt>
                <c:pt idx="12">
                  <c:v>5.5152078519983792E-2</c:v>
                </c:pt>
                <c:pt idx="13">
                  <c:v>5.5152078519983792E-2</c:v>
                </c:pt>
                <c:pt idx="14">
                  <c:v>5.5487756135980212E-2</c:v>
                </c:pt>
                <c:pt idx="15">
                  <c:v>5.5829028378909913E-2</c:v>
                </c:pt>
                <c:pt idx="16">
                  <c:v>5.6138049243047793E-2</c:v>
                </c:pt>
                <c:pt idx="17">
                  <c:v>5.6193337320976616E-2</c:v>
                </c:pt>
                <c:pt idx="18">
                  <c:v>5.6194324608082491E-2</c:v>
                </c:pt>
                <c:pt idx="19">
                  <c:v>5.6232170613807572E-2</c:v>
                </c:pt>
                <c:pt idx="20">
                  <c:v>5.6235790666529104E-2</c:v>
                </c:pt>
                <c:pt idx="21">
                  <c:v>5.6245005346183909E-2</c:v>
                </c:pt>
                <c:pt idx="22">
                  <c:v>5.6541191477945452E-2</c:v>
                </c:pt>
                <c:pt idx="23">
                  <c:v>5.6823555590224797E-2</c:v>
                </c:pt>
                <c:pt idx="24">
                  <c:v>5.6846592289361807E-2</c:v>
                </c:pt>
                <c:pt idx="25">
                  <c:v>5.7174042512809296E-2</c:v>
                </c:pt>
                <c:pt idx="26">
                  <c:v>5.7176017087021039E-2</c:v>
                </c:pt>
                <c:pt idx="27">
                  <c:v>5.7187864532291501E-2</c:v>
                </c:pt>
                <c:pt idx="28">
                  <c:v>5.7530124062327069E-2</c:v>
                </c:pt>
                <c:pt idx="29">
                  <c:v>5.7548553421636679E-2</c:v>
                </c:pt>
                <c:pt idx="30">
                  <c:v>5.8884352875881257E-2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D3-4718-917B-8ED5276F661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D3-4718-917B-8ED5276F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366888"/>
        <c:axId val="1"/>
      </c:scatterChart>
      <c:valAx>
        <c:axId val="85036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36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17770034843204E-2"/>
          <c:y val="0.92660839413421947"/>
          <c:w val="0.86237006959495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602149207788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62840966611050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-0.71366799999668729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C-4150-AC22-5CFCE4FC0B1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5">
                  <c:v>-2.5488999992376193E-2</c:v>
                </c:pt>
                <c:pt idx="11">
                  <c:v>-3.152599999884842E-2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C-4150-AC22-5CFCE4FC0B1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2">
                  <c:v>-0.20951000000059139</c:v>
                </c:pt>
                <c:pt idx="3">
                  <c:v>-0.10110900000290712</c:v>
                </c:pt>
                <c:pt idx="8">
                  <c:v>2.7358999999705702E-2</c:v>
                </c:pt>
                <c:pt idx="9">
                  <c:v>8.1872000002476852E-2</c:v>
                </c:pt>
                <c:pt idx="14">
                  <c:v>5.9911999996984378E-2</c:v>
                </c:pt>
                <c:pt idx="15">
                  <c:v>-6.3545999997586478E-2</c:v>
                </c:pt>
                <c:pt idx="16">
                  <c:v>2.8450000027078204E-3</c:v>
                </c:pt>
                <c:pt idx="17">
                  <c:v>8.333000005222857E-3</c:v>
                </c:pt>
                <c:pt idx="18">
                  <c:v>8.0309999975725077E-3</c:v>
                </c:pt>
                <c:pt idx="19">
                  <c:v>2.2100000205682591E-4</c:v>
                </c:pt>
                <c:pt idx="20">
                  <c:v>-2.0952999992005061E-2</c:v>
                </c:pt>
                <c:pt idx="21">
                  <c:v>3.4949999972013757E-3</c:v>
                </c:pt>
                <c:pt idx="22">
                  <c:v>4.6412000003329013E-2</c:v>
                </c:pt>
                <c:pt idx="23">
                  <c:v>-4.4560000002093147E-2</c:v>
                </c:pt>
                <c:pt idx="24">
                  <c:v>-1.2340000001131557E-2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C-4150-AC22-5CFCE4FC0B1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">
                  <c:v>-0.17627999999240274</c:v>
                </c:pt>
                <c:pt idx="4">
                  <c:v>7.7773000004526693E-2</c:v>
                </c:pt>
                <c:pt idx="6">
                  <c:v>-1.3363999998546205E-2</c:v>
                </c:pt>
                <c:pt idx="7">
                  <c:v>3.3355000006849878E-2</c:v>
                </c:pt>
                <c:pt idx="10">
                  <c:v>5.9959999998682179E-3</c:v>
                </c:pt>
                <c:pt idx="12">
                  <c:v>-3.2124999997904524E-2</c:v>
                </c:pt>
                <c:pt idx="13">
                  <c:v>-3.2124999997904524E-2</c:v>
                </c:pt>
                <c:pt idx="25">
                  <c:v>1.5447000005224254E-2</c:v>
                </c:pt>
                <c:pt idx="26">
                  <c:v>3.0042999998840969E-2</c:v>
                </c:pt>
                <c:pt idx="27">
                  <c:v>4.0519000001950189E-2</c:v>
                </c:pt>
                <c:pt idx="28">
                  <c:v>-6.3541000003169756E-2</c:v>
                </c:pt>
                <c:pt idx="29">
                  <c:v>-6.4344999998866115E-2</c:v>
                </c:pt>
                <c:pt idx="30">
                  <c:v>5.5600000006961636E-2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DC-4150-AC22-5CFCE4FC0B1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DC-4150-AC22-5CFCE4FC0B1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DC-4150-AC22-5CFCE4FC0B1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DC-4150-AC22-5CFCE4FC0B1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1.0416762967301556E-2</c:v>
                </c:pt>
                <c:pt idx="1">
                  <c:v>4.0832044984404426E-3</c:v>
                </c:pt>
                <c:pt idx="2">
                  <c:v>3.9876008758785294E-3</c:v>
                </c:pt>
                <c:pt idx="3">
                  <c:v>3.9335061679226114E-3</c:v>
                </c:pt>
                <c:pt idx="4">
                  <c:v>3.2952612243890298E-3</c:v>
                </c:pt>
                <c:pt idx="5">
                  <c:v>3.0089344256782873E-3</c:v>
                </c:pt>
                <c:pt idx="6">
                  <c:v>2.5399926061499163E-3</c:v>
                </c:pt>
                <c:pt idx="7">
                  <c:v>2.1051776493588355E-3</c:v>
                </c:pt>
                <c:pt idx="8">
                  <c:v>2.0824264075339754E-3</c:v>
                </c:pt>
                <c:pt idx="9">
                  <c:v>1.7785521084795908E-3</c:v>
                </c:pt>
                <c:pt idx="10">
                  <c:v>1.5839563805307866E-3</c:v>
                </c:pt>
                <c:pt idx="11">
                  <c:v>1.4525316538190926E-3</c:v>
                </c:pt>
                <c:pt idx="12">
                  <c:v>1.0837921121151072E-3</c:v>
                </c:pt>
                <c:pt idx="13">
                  <c:v>1.0837921121151072E-3</c:v>
                </c:pt>
                <c:pt idx="14">
                  <c:v>8.3703795211037199E-4</c:v>
                </c:pt>
                <c:pt idx="15">
                  <c:v>5.860481885744135E-4</c:v>
                </c:pt>
                <c:pt idx="16">
                  <c:v>3.588988220570577E-4</c:v>
                </c:pt>
                <c:pt idx="17">
                  <c:v>3.1823702815730708E-4</c:v>
                </c:pt>
                <c:pt idx="18">
                  <c:v>3.1751092469481206E-4</c:v>
                </c:pt>
                <c:pt idx="19">
                  <c:v>2.8967695863248329E-4</c:v>
                </c:pt>
                <c:pt idx="20">
                  <c:v>2.8701457926999865E-4</c:v>
                </c:pt>
                <c:pt idx="21">
                  <c:v>2.8023761362004108E-4</c:v>
                </c:pt>
                <c:pt idx="22">
                  <c:v>6.2527592115127484E-5</c:v>
                </c:pt>
                <c:pt idx="23">
                  <c:v>-1.4513799815859749E-4</c:v>
                </c:pt>
                <c:pt idx="24">
                  <c:v>-1.6208041228349401E-4</c:v>
                </c:pt>
                <c:pt idx="25">
                  <c:v>-4.0278371010076669E-4</c:v>
                </c:pt>
                <c:pt idx="26">
                  <c:v>-4.0423591702575673E-4</c:v>
                </c:pt>
                <c:pt idx="27">
                  <c:v>-4.1294915857570391E-4</c:v>
                </c:pt>
                <c:pt idx="28">
                  <c:v>-6.6466502557415742E-4</c:v>
                </c:pt>
                <c:pt idx="29">
                  <c:v>-6.782189568740743E-4</c:v>
                </c:pt>
                <c:pt idx="30">
                  <c:v>-1.6602738898992952E-3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DC-4150-AC22-5CFCE4FC0B1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DC-4150-AC22-5CFCE4FC0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6024"/>
        <c:axId val="1"/>
      </c:scatterChart>
      <c:valAx>
        <c:axId val="47260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082207655980172E-2"/>
          <c:y val="0.92638036809815949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5401062672044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4678942920199375"/>
          <c:w val="0.806620895222750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-0.71366799999668729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5-4465-99C8-8EAD0349581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5">
                  <c:v>-2.5488999992376193E-2</c:v>
                </c:pt>
                <c:pt idx="11">
                  <c:v>-3.152599999884842E-2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5-4465-99C8-8EAD0349581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2">
                  <c:v>-0.20951000000059139</c:v>
                </c:pt>
                <c:pt idx="3">
                  <c:v>-0.10110900000290712</c:v>
                </c:pt>
                <c:pt idx="8">
                  <c:v>2.7358999999705702E-2</c:v>
                </c:pt>
                <c:pt idx="9">
                  <c:v>8.1872000002476852E-2</c:v>
                </c:pt>
                <c:pt idx="14">
                  <c:v>5.9911999996984378E-2</c:v>
                </c:pt>
                <c:pt idx="15">
                  <c:v>-6.3545999997586478E-2</c:v>
                </c:pt>
                <c:pt idx="16">
                  <c:v>2.8450000027078204E-3</c:v>
                </c:pt>
                <c:pt idx="17">
                  <c:v>8.333000005222857E-3</c:v>
                </c:pt>
                <c:pt idx="18">
                  <c:v>8.0309999975725077E-3</c:v>
                </c:pt>
                <c:pt idx="19">
                  <c:v>2.2100000205682591E-4</c:v>
                </c:pt>
                <c:pt idx="20">
                  <c:v>-2.0952999992005061E-2</c:v>
                </c:pt>
                <c:pt idx="21">
                  <c:v>3.4949999972013757E-3</c:v>
                </c:pt>
                <c:pt idx="22">
                  <c:v>4.6412000003329013E-2</c:v>
                </c:pt>
                <c:pt idx="23">
                  <c:v>-4.4560000002093147E-2</c:v>
                </c:pt>
                <c:pt idx="24">
                  <c:v>-1.2340000001131557E-2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A5-4465-99C8-8EAD0349581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">
                  <c:v>-0.17627999999240274</c:v>
                </c:pt>
                <c:pt idx="4">
                  <c:v>7.7773000004526693E-2</c:v>
                </c:pt>
                <c:pt idx="6">
                  <c:v>-1.3363999998546205E-2</c:v>
                </c:pt>
                <c:pt idx="7">
                  <c:v>3.3355000006849878E-2</c:v>
                </c:pt>
                <c:pt idx="10">
                  <c:v>5.9959999998682179E-3</c:v>
                </c:pt>
                <c:pt idx="12">
                  <c:v>-3.2124999997904524E-2</c:v>
                </c:pt>
                <c:pt idx="13">
                  <c:v>-3.2124999997904524E-2</c:v>
                </c:pt>
                <c:pt idx="25">
                  <c:v>1.5447000005224254E-2</c:v>
                </c:pt>
                <c:pt idx="26">
                  <c:v>3.0042999998840969E-2</c:v>
                </c:pt>
                <c:pt idx="27">
                  <c:v>4.0519000001950189E-2</c:v>
                </c:pt>
                <c:pt idx="28">
                  <c:v>-6.3541000003169756E-2</c:v>
                </c:pt>
                <c:pt idx="29">
                  <c:v>-6.4344999998866115E-2</c:v>
                </c:pt>
                <c:pt idx="30">
                  <c:v>5.5600000006961636E-2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A5-4465-99C8-8EAD0349581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A5-4465-99C8-8EAD0349581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A5-4465-99C8-8EAD0349581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A5-4465-99C8-8EAD0349581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1.0416762967301556E-2</c:v>
                </c:pt>
                <c:pt idx="1">
                  <c:v>4.0832044984404426E-3</c:v>
                </c:pt>
                <c:pt idx="2">
                  <c:v>3.9876008758785294E-3</c:v>
                </c:pt>
                <c:pt idx="3">
                  <c:v>3.9335061679226114E-3</c:v>
                </c:pt>
                <c:pt idx="4">
                  <c:v>3.2952612243890298E-3</c:v>
                </c:pt>
                <c:pt idx="5">
                  <c:v>3.0089344256782873E-3</c:v>
                </c:pt>
                <c:pt idx="6">
                  <c:v>2.5399926061499163E-3</c:v>
                </c:pt>
                <c:pt idx="7">
                  <c:v>2.1051776493588355E-3</c:v>
                </c:pt>
                <c:pt idx="8">
                  <c:v>2.0824264075339754E-3</c:v>
                </c:pt>
                <c:pt idx="9">
                  <c:v>1.7785521084795908E-3</c:v>
                </c:pt>
                <c:pt idx="10">
                  <c:v>1.5839563805307866E-3</c:v>
                </c:pt>
                <c:pt idx="11">
                  <c:v>1.4525316538190926E-3</c:v>
                </c:pt>
                <c:pt idx="12">
                  <c:v>1.0837921121151072E-3</c:v>
                </c:pt>
                <c:pt idx="13">
                  <c:v>1.0837921121151072E-3</c:v>
                </c:pt>
                <c:pt idx="14">
                  <c:v>8.3703795211037199E-4</c:v>
                </c:pt>
                <c:pt idx="15">
                  <c:v>5.860481885744135E-4</c:v>
                </c:pt>
                <c:pt idx="16">
                  <c:v>3.588988220570577E-4</c:v>
                </c:pt>
                <c:pt idx="17">
                  <c:v>3.1823702815730708E-4</c:v>
                </c:pt>
                <c:pt idx="18">
                  <c:v>3.1751092469481206E-4</c:v>
                </c:pt>
                <c:pt idx="19">
                  <c:v>2.8967695863248329E-4</c:v>
                </c:pt>
                <c:pt idx="20">
                  <c:v>2.8701457926999865E-4</c:v>
                </c:pt>
                <c:pt idx="21">
                  <c:v>2.8023761362004108E-4</c:v>
                </c:pt>
                <c:pt idx="22">
                  <c:v>6.2527592115127484E-5</c:v>
                </c:pt>
                <c:pt idx="23">
                  <c:v>-1.4513799815859749E-4</c:v>
                </c:pt>
                <c:pt idx="24">
                  <c:v>-1.6208041228349401E-4</c:v>
                </c:pt>
                <c:pt idx="25">
                  <c:v>-4.0278371010076669E-4</c:v>
                </c:pt>
                <c:pt idx="26">
                  <c:v>-4.0423591702575673E-4</c:v>
                </c:pt>
                <c:pt idx="27">
                  <c:v>-4.1294915857570391E-4</c:v>
                </c:pt>
                <c:pt idx="28">
                  <c:v>-6.6466502557415742E-4</c:v>
                </c:pt>
                <c:pt idx="29">
                  <c:v>-6.782189568740743E-4</c:v>
                </c:pt>
                <c:pt idx="30">
                  <c:v>-1.6602738898992952E-3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A5-4465-99C8-8EAD0349581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A5-4465-99C8-8EAD0349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003744"/>
        <c:axId val="1"/>
      </c:scatterChart>
      <c:valAx>
        <c:axId val="40300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0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17770034843204E-2"/>
          <c:y val="0.92660839413421947"/>
          <c:w val="0.86237006959495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602149207788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62840966611050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4'!$H$21:$H$991</c:f>
              <c:numCache>
                <c:formatCode>General</c:formatCode>
                <c:ptCount val="971"/>
                <c:pt idx="0">
                  <c:v>-1.0510224000026938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4-408E-A7B2-F02BDA2DBFA3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4'!$I$21:$I$991</c:f>
              <c:numCache>
                <c:formatCode>General</c:formatCode>
                <c:ptCount val="971"/>
                <c:pt idx="5">
                  <c:v>-9.6780799998668954E-2</c:v>
                </c:pt>
                <c:pt idx="11">
                  <c:v>-0.12643559999560239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E4-408E-A7B2-F02BDA2DBFA3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4'!$J$21:$J$991</c:f>
              <c:numCache>
                <c:formatCode>General</c:formatCode>
                <c:ptCount val="971"/>
                <c:pt idx="2">
                  <c:v>-0.34808119999797782</c:v>
                </c:pt>
                <c:pt idx="3">
                  <c:v>-0.36498359999677632</c:v>
                </c:pt>
                <c:pt idx="8">
                  <c:v>0.11301040000398643</c:v>
                </c:pt>
                <c:pt idx="9">
                  <c:v>-8.8443199994799215E-2</c:v>
                </c:pt>
                <c:pt idx="14">
                  <c:v>9.8777599996537901E-2</c:v>
                </c:pt>
                <c:pt idx="15">
                  <c:v>5.2292800006398465E-2</c:v>
                </c:pt>
                <c:pt idx="16">
                  <c:v>-5.9971999944536947E-3</c:v>
                </c:pt>
                <c:pt idx="17">
                  <c:v>3.9326000005530659E-2</c:v>
                </c:pt>
                <c:pt idx="18">
                  <c:v>5.8503599997493438E-2</c:v>
                </c:pt>
                <c:pt idx="19">
                  <c:v>9.6730000004754402E-2</c:v>
                </c:pt>
                <c:pt idx="20">
                  <c:v>5.9396000004198868E-2</c:v>
                </c:pt>
                <c:pt idx="21">
                  <c:v>9.0483200001472142E-2</c:v>
                </c:pt>
                <c:pt idx="22">
                  <c:v>1.824000000488013E-2</c:v>
                </c:pt>
                <c:pt idx="23">
                  <c:v>-1.9433999994362239E-2</c:v>
                </c:pt>
                <c:pt idx="24">
                  <c:v>2.9384000001300592E-2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4-408E-A7B2-F02BDA2DBFA3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4'!$K$21:$K$991</c:f>
              <c:numCache>
                <c:formatCode>General</c:formatCode>
                <c:ptCount val="971"/>
                <c:pt idx="1">
                  <c:v>-0.16452399999980116</c:v>
                </c:pt>
                <c:pt idx="4">
                  <c:v>0.12010840000584722</c:v>
                </c:pt>
                <c:pt idx="6">
                  <c:v>-2.8764399998181034E-2</c:v>
                </c:pt>
                <c:pt idx="7">
                  <c:v>-5.3428399995027576E-2</c:v>
                </c:pt>
                <c:pt idx="10">
                  <c:v>6.385720000253059E-2</c:v>
                </c:pt>
                <c:pt idx="12">
                  <c:v>0.13098360000003595</c:v>
                </c:pt>
                <c:pt idx="13">
                  <c:v>0.13098360000003595</c:v>
                </c:pt>
                <c:pt idx="25">
                  <c:v>-5.4231599991908297E-2</c:v>
                </c:pt>
                <c:pt idx="26">
                  <c:v>-6.7639999906532466E-4</c:v>
                </c:pt>
                <c:pt idx="27">
                  <c:v>-1.9200799993996043E-2</c:v>
                </c:pt>
                <c:pt idx="28">
                  <c:v>-2.6808000002347399E-2</c:v>
                </c:pt>
                <c:pt idx="29">
                  <c:v>-1.4333599996461999E-2</c:v>
                </c:pt>
                <c:pt idx="30">
                  <c:v>-8.6545199999818578E-2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4-408E-A7B2-F02BDA2DBFA3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E4-408E-A7B2-F02BDA2DBFA3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E4-408E-A7B2-F02BDA2DBFA3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4-408E-A7B2-F02BDA2DBFA3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4'!$O$21:$O$991</c:f>
              <c:numCache>
                <c:formatCode>General</c:formatCode>
                <c:ptCount val="971"/>
                <c:pt idx="0">
                  <c:v>0.78911091229423225</c:v>
                </c:pt>
                <c:pt idx="1">
                  <c:v>0.32325149932835012</c:v>
                </c:pt>
                <c:pt idx="2">
                  <c:v>0.31621169448923825</c:v>
                </c:pt>
                <c:pt idx="3">
                  <c:v>0.3122264045989403</c:v>
                </c:pt>
                <c:pt idx="4">
                  <c:v>0.26529437233819464</c:v>
                </c:pt>
                <c:pt idx="5">
                  <c:v>0.24422739584573139</c:v>
                </c:pt>
                <c:pt idx="6">
                  <c:v>0.20973628498594876</c:v>
                </c:pt>
                <c:pt idx="7">
                  <c:v>0.17774908981382043</c:v>
                </c:pt>
                <c:pt idx="8">
                  <c:v>0.17608418252412361</c:v>
                </c:pt>
                <c:pt idx="9">
                  <c:v>0.15371936491606997</c:v>
                </c:pt>
                <c:pt idx="10">
                  <c:v>0.13941689363213883</c:v>
                </c:pt>
                <c:pt idx="11">
                  <c:v>0.12974207804319182</c:v>
                </c:pt>
                <c:pt idx="12">
                  <c:v>0.10263161918419117</c:v>
                </c:pt>
                <c:pt idx="13">
                  <c:v>0.10263161918419117</c:v>
                </c:pt>
                <c:pt idx="14">
                  <c:v>8.4474953072142922E-2</c:v>
                </c:pt>
                <c:pt idx="15">
                  <c:v>6.60167683170787E-2</c:v>
                </c:pt>
                <c:pt idx="16">
                  <c:v>4.9302147889019876E-2</c:v>
                </c:pt>
                <c:pt idx="17">
                  <c:v>4.63131804712964E-2</c:v>
                </c:pt>
                <c:pt idx="18">
                  <c:v>4.6260742446424086E-2</c:v>
                </c:pt>
                <c:pt idx="19">
                  <c:v>4.4215659476402713E-2</c:v>
                </c:pt>
                <c:pt idx="20">
                  <c:v>4.4019016883131479E-2</c:v>
                </c:pt>
                <c:pt idx="21">
                  <c:v>4.352085564684427E-2</c:v>
                </c:pt>
                <c:pt idx="22">
                  <c:v>2.7501039048343889E-2</c:v>
                </c:pt>
                <c:pt idx="23">
                  <c:v>1.2228464304274378E-2</c:v>
                </c:pt>
                <c:pt idx="24">
                  <c:v>1.09830612135563E-2</c:v>
                </c:pt>
                <c:pt idx="25">
                  <c:v>-6.727881687077053E-3</c:v>
                </c:pt>
                <c:pt idx="26">
                  <c:v>-6.8327577368216819E-3</c:v>
                </c:pt>
                <c:pt idx="27">
                  <c:v>-7.475123541507922E-3</c:v>
                </c:pt>
                <c:pt idx="28">
                  <c:v>-2.5985746321444458E-2</c:v>
                </c:pt>
                <c:pt idx="29">
                  <c:v>-2.6982068794018987E-2</c:v>
                </c:pt>
                <c:pt idx="30">
                  <c:v>-9.9228557561887532E-2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E4-408E-A7B2-F02BDA2DBFA3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E4-408E-A7B2-F02BDA2D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91456"/>
        <c:axId val="1"/>
      </c:scatterChart>
      <c:valAx>
        <c:axId val="47419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19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082207655980172E-2"/>
          <c:y val="0.92638036809815949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5401062672044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4678942920199375"/>
          <c:w val="0.806620895222750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4'!$H$21:$H$991</c:f>
              <c:numCache>
                <c:formatCode>General</c:formatCode>
                <c:ptCount val="971"/>
                <c:pt idx="0">
                  <c:v>-1.0510224000026938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5F-4224-AF3F-7244FED664CB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4'!$I$21:$I$991</c:f>
              <c:numCache>
                <c:formatCode>General</c:formatCode>
                <c:ptCount val="971"/>
                <c:pt idx="5">
                  <c:v>-9.6780799998668954E-2</c:v>
                </c:pt>
                <c:pt idx="11">
                  <c:v>-0.12643559999560239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5F-4224-AF3F-7244FED664CB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4'!$J$21:$J$991</c:f>
              <c:numCache>
                <c:formatCode>General</c:formatCode>
                <c:ptCount val="971"/>
                <c:pt idx="2">
                  <c:v>-0.34808119999797782</c:v>
                </c:pt>
                <c:pt idx="3">
                  <c:v>-0.36498359999677632</c:v>
                </c:pt>
                <c:pt idx="8">
                  <c:v>0.11301040000398643</c:v>
                </c:pt>
                <c:pt idx="9">
                  <c:v>-8.8443199994799215E-2</c:v>
                </c:pt>
                <c:pt idx="14">
                  <c:v>9.8777599996537901E-2</c:v>
                </c:pt>
                <c:pt idx="15">
                  <c:v>5.2292800006398465E-2</c:v>
                </c:pt>
                <c:pt idx="16">
                  <c:v>-5.9971999944536947E-3</c:v>
                </c:pt>
                <c:pt idx="17">
                  <c:v>3.9326000005530659E-2</c:v>
                </c:pt>
                <c:pt idx="18">
                  <c:v>5.8503599997493438E-2</c:v>
                </c:pt>
                <c:pt idx="19">
                  <c:v>9.6730000004754402E-2</c:v>
                </c:pt>
                <c:pt idx="20">
                  <c:v>5.9396000004198868E-2</c:v>
                </c:pt>
                <c:pt idx="21">
                  <c:v>9.0483200001472142E-2</c:v>
                </c:pt>
                <c:pt idx="22">
                  <c:v>1.824000000488013E-2</c:v>
                </c:pt>
                <c:pt idx="23">
                  <c:v>-1.9433999994362239E-2</c:v>
                </c:pt>
                <c:pt idx="24">
                  <c:v>2.9384000001300592E-2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5F-4224-AF3F-7244FED664CB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4'!$K$21:$K$991</c:f>
              <c:numCache>
                <c:formatCode>General</c:formatCode>
                <c:ptCount val="971"/>
                <c:pt idx="1">
                  <c:v>-0.16452399999980116</c:v>
                </c:pt>
                <c:pt idx="4">
                  <c:v>0.12010840000584722</c:v>
                </c:pt>
                <c:pt idx="6">
                  <c:v>-2.8764399998181034E-2</c:v>
                </c:pt>
                <c:pt idx="7">
                  <c:v>-5.3428399995027576E-2</c:v>
                </c:pt>
                <c:pt idx="10">
                  <c:v>6.385720000253059E-2</c:v>
                </c:pt>
                <c:pt idx="12">
                  <c:v>0.13098360000003595</c:v>
                </c:pt>
                <c:pt idx="13">
                  <c:v>0.13098360000003595</c:v>
                </c:pt>
                <c:pt idx="25">
                  <c:v>-5.4231599991908297E-2</c:v>
                </c:pt>
                <c:pt idx="26">
                  <c:v>-6.7639999906532466E-4</c:v>
                </c:pt>
                <c:pt idx="27">
                  <c:v>-1.9200799993996043E-2</c:v>
                </c:pt>
                <c:pt idx="28">
                  <c:v>-2.6808000002347399E-2</c:v>
                </c:pt>
                <c:pt idx="29">
                  <c:v>-1.4333599996461999E-2</c:v>
                </c:pt>
                <c:pt idx="30">
                  <c:v>-8.6545199999818578E-2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5F-4224-AF3F-7244FED664CB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5F-4224-AF3F-7244FED664CB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5F-4224-AF3F-7244FED664CB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5F-4224-AF3F-7244FED664CB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4'!$O$21:$O$991</c:f>
              <c:numCache>
                <c:formatCode>General</c:formatCode>
                <c:ptCount val="971"/>
                <c:pt idx="0">
                  <c:v>0.78911091229423225</c:v>
                </c:pt>
                <c:pt idx="1">
                  <c:v>0.32325149932835012</c:v>
                </c:pt>
                <c:pt idx="2">
                  <c:v>0.31621169448923825</c:v>
                </c:pt>
                <c:pt idx="3">
                  <c:v>0.3122264045989403</c:v>
                </c:pt>
                <c:pt idx="4">
                  <c:v>0.26529437233819464</c:v>
                </c:pt>
                <c:pt idx="5">
                  <c:v>0.24422739584573139</c:v>
                </c:pt>
                <c:pt idx="6">
                  <c:v>0.20973628498594876</c:v>
                </c:pt>
                <c:pt idx="7">
                  <c:v>0.17774908981382043</c:v>
                </c:pt>
                <c:pt idx="8">
                  <c:v>0.17608418252412361</c:v>
                </c:pt>
                <c:pt idx="9">
                  <c:v>0.15371936491606997</c:v>
                </c:pt>
                <c:pt idx="10">
                  <c:v>0.13941689363213883</c:v>
                </c:pt>
                <c:pt idx="11">
                  <c:v>0.12974207804319182</c:v>
                </c:pt>
                <c:pt idx="12">
                  <c:v>0.10263161918419117</c:v>
                </c:pt>
                <c:pt idx="13">
                  <c:v>0.10263161918419117</c:v>
                </c:pt>
                <c:pt idx="14">
                  <c:v>8.4474953072142922E-2</c:v>
                </c:pt>
                <c:pt idx="15">
                  <c:v>6.60167683170787E-2</c:v>
                </c:pt>
                <c:pt idx="16">
                  <c:v>4.9302147889019876E-2</c:v>
                </c:pt>
                <c:pt idx="17">
                  <c:v>4.63131804712964E-2</c:v>
                </c:pt>
                <c:pt idx="18">
                  <c:v>4.6260742446424086E-2</c:v>
                </c:pt>
                <c:pt idx="19">
                  <c:v>4.4215659476402713E-2</c:v>
                </c:pt>
                <c:pt idx="20">
                  <c:v>4.4019016883131479E-2</c:v>
                </c:pt>
                <c:pt idx="21">
                  <c:v>4.352085564684427E-2</c:v>
                </c:pt>
                <c:pt idx="22">
                  <c:v>2.7501039048343889E-2</c:v>
                </c:pt>
                <c:pt idx="23">
                  <c:v>1.2228464304274378E-2</c:v>
                </c:pt>
                <c:pt idx="24">
                  <c:v>1.09830612135563E-2</c:v>
                </c:pt>
                <c:pt idx="25">
                  <c:v>-6.727881687077053E-3</c:v>
                </c:pt>
                <c:pt idx="26">
                  <c:v>-6.8327577368216819E-3</c:v>
                </c:pt>
                <c:pt idx="27">
                  <c:v>-7.475123541507922E-3</c:v>
                </c:pt>
                <c:pt idx="28">
                  <c:v>-2.5985746321444458E-2</c:v>
                </c:pt>
                <c:pt idx="29">
                  <c:v>-2.6982068794018987E-2</c:v>
                </c:pt>
                <c:pt idx="30">
                  <c:v>-9.9228557561887532E-2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5F-4224-AF3F-7244FED664CB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</c:numCache>
            </c:numRef>
          </c:xVal>
          <c:yVal>
            <c:numRef>
              <c:f>'Active 4'!$U$21:$U$991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5F-4224-AF3F-7244FED66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86432"/>
        <c:axId val="1"/>
      </c:scatterChart>
      <c:valAx>
        <c:axId val="54568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8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17770034843204E-2"/>
          <c:y val="0.92660839413421947"/>
          <c:w val="0.86237006959495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1F9B7FAA-9406-1B0E-E48A-D4508252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85725</xdr:colOff>
      <xdr:row>18</xdr:row>
      <xdr:rowOff>28575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E8FCD9EE-E219-6720-3749-D87F56A1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66563" name="Chart 1">
          <a:extLst>
            <a:ext uri="{FF2B5EF4-FFF2-40B4-BE49-F238E27FC236}">
              <a16:creationId xmlns:a16="http://schemas.microsoft.com/office/drawing/2014/main" id="{AFBDAAFF-03E1-38DA-D3FA-E73B679BF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85725</xdr:colOff>
      <xdr:row>18</xdr:row>
      <xdr:rowOff>28575</xdr:rowOff>
    </xdr:to>
    <xdr:graphicFrame macro="">
      <xdr:nvGraphicFramePr>
        <xdr:cNvPr id="66564" name="Chart 2">
          <a:extLst>
            <a:ext uri="{FF2B5EF4-FFF2-40B4-BE49-F238E27FC236}">
              <a16:creationId xmlns:a16="http://schemas.microsoft.com/office/drawing/2014/main" id="{9F50B9CE-C12E-E7D4-48AD-4EDF1C005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64515" name="Chart 1">
          <a:extLst>
            <a:ext uri="{FF2B5EF4-FFF2-40B4-BE49-F238E27FC236}">
              <a16:creationId xmlns:a16="http://schemas.microsoft.com/office/drawing/2014/main" id="{4D7798D6-DF56-BEE3-3B0A-BF60AE39C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85725</xdr:colOff>
      <xdr:row>18</xdr:row>
      <xdr:rowOff>28575</xdr:rowOff>
    </xdr:to>
    <xdr:graphicFrame macro="">
      <xdr:nvGraphicFramePr>
        <xdr:cNvPr id="64516" name="Chart 2">
          <a:extLst>
            <a:ext uri="{FF2B5EF4-FFF2-40B4-BE49-F238E27FC236}">
              <a16:creationId xmlns:a16="http://schemas.microsoft.com/office/drawing/2014/main" id="{CA053E5B-08E6-2A80-4E35-C052EDFA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837" TargetMode="External"/><Relationship Id="rId12" Type="http://schemas.openxmlformats.org/officeDocument/2006/relationships/hyperlink" Target="http://www.bav-astro.de/sfs/BAVM_link.php?BAVMnr=228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760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945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var.astro.cz/oejv/issues/oejv0172.pdf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51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style="5" customWidth="1"/>
    <col min="19" max="20" width="10.28515625" style="5" customWidth="1"/>
    <col min="21" max="21" width="10.28515625" style="66" customWidth="1"/>
  </cols>
  <sheetData>
    <row r="1" spans="1:6" ht="20.25" x14ac:dyDescent="0.3">
      <c r="A1" s="1" t="s">
        <v>59</v>
      </c>
      <c r="E1">
        <v>0.210953</v>
      </c>
    </row>
    <row r="2" spans="1:6" x14ac:dyDescent="0.2">
      <c r="A2" t="s">
        <v>29</v>
      </c>
      <c r="B2" s="14" t="s">
        <v>38</v>
      </c>
    </row>
    <row r="3" spans="1:6" ht="13.5" thickBot="1" x14ac:dyDescent="0.25"/>
    <row r="4" spans="1:6" ht="14.25" thickTop="1" thickBot="1" x14ac:dyDescent="0.25">
      <c r="A4" s="7" t="s">
        <v>5</v>
      </c>
      <c r="C4" s="3">
        <v>41561.334999999999</v>
      </c>
      <c r="D4" s="4">
        <v>0.52551119999999996</v>
      </c>
    </row>
    <row r="5" spans="1:6" ht="13.5" thickTop="1" x14ac:dyDescent="0.2">
      <c r="A5" s="16" t="s">
        <v>41</v>
      </c>
      <c r="B5" s="12"/>
      <c r="C5" s="17">
        <v>-9.5</v>
      </c>
      <c r="D5" s="12" t="s">
        <v>42</v>
      </c>
    </row>
    <row r="6" spans="1:6" x14ac:dyDescent="0.2">
      <c r="A6" s="7" t="s">
        <v>6</v>
      </c>
      <c r="C6" s="11"/>
    </row>
    <row r="7" spans="1:6" x14ac:dyDescent="0.2">
      <c r="A7" t="s">
        <v>7</v>
      </c>
      <c r="C7">
        <f>+C4</f>
        <v>41561.334999999999</v>
      </c>
    </row>
    <row r="8" spans="1:6" x14ac:dyDescent="0.2">
      <c r="A8" t="s">
        <v>8</v>
      </c>
      <c r="C8">
        <v>0.35672999999999999</v>
      </c>
      <c r="D8" s="30" t="s">
        <v>2</v>
      </c>
    </row>
    <row r="9" spans="1:6" x14ac:dyDescent="0.2">
      <c r="A9" s="29" t="s">
        <v>47</v>
      </c>
      <c r="B9" s="68">
        <v>36</v>
      </c>
      <c r="C9" s="28" t="str">
        <f>"F"&amp;B9</f>
        <v>F36</v>
      </c>
      <c r="D9" s="11" t="str">
        <f>"G"&amp;B9</f>
        <v>G36</v>
      </c>
    </row>
    <row r="10" spans="1:6" ht="13.5" thickBot="1" x14ac:dyDescent="0.25">
      <c r="A10" s="12"/>
      <c r="B10" s="12"/>
      <c r="C10" s="6" t="s">
        <v>25</v>
      </c>
      <c r="D10" s="6" t="s">
        <v>26</v>
      </c>
      <c r="E10" s="12"/>
    </row>
    <row r="11" spans="1:6" x14ac:dyDescent="0.2">
      <c r="A11" s="12" t="s">
        <v>21</v>
      </c>
      <c r="B11" s="12"/>
      <c r="C11" s="27">
        <f ca="1">INTERCEPT(INDIRECT($D$9):G991,INDIRECT($C$9):F991)</f>
        <v>4.245770546053481E-2</v>
      </c>
      <c r="D11" s="5"/>
      <c r="E11" s="12"/>
    </row>
    <row r="12" spans="1:6" x14ac:dyDescent="0.2">
      <c r="A12" s="12" t="s">
        <v>22</v>
      </c>
      <c r="B12" s="12"/>
      <c r="C12" s="27">
        <f ca="1">SLOPE(INDIRECT($D$9):G991,INDIRECT($C$9):F991)</f>
        <v>3.2909570195727595E-7</v>
      </c>
      <c r="D12" s="5"/>
      <c r="E12" s="12"/>
    </row>
    <row r="13" spans="1:6" x14ac:dyDescent="0.2">
      <c r="A13" s="12" t="s">
        <v>24</v>
      </c>
      <c r="B13" s="12"/>
      <c r="C13" s="5" t="s">
        <v>19</v>
      </c>
      <c r="D13" s="20"/>
      <c r="E13" s="17"/>
    </row>
    <row r="14" spans="1:6" x14ac:dyDescent="0.2">
      <c r="A14" s="12"/>
      <c r="B14" s="12"/>
      <c r="C14" s="12"/>
      <c r="D14" s="20"/>
      <c r="E14" s="21"/>
    </row>
    <row r="15" spans="1:6" x14ac:dyDescent="0.2">
      <c r="A15" s="18" t="s">
        <v>23</v>
      </c>
      <c r="B15" s="12"/>
      <c r="C15" s="19">
        <f ca="1">(C7+C11)+(C8+C12)*INT(MAX(F21:F3532))</f>
        <v>59367.215104188326</v>
      </c>
      <c r="D15" s="20"/>
      <c r="E15" s="20" t="s">
        <v>53</v>
      </c>
      <c r="F15" s="17">
        <v>1</v>
      </c>
    </row>
    <row r="16" spans="1:6" x14ac:dyDescent="0.2">
      <c r="A16" s="22" t="s">
        <v>9</v>
      </c>
      <c r="B16" s="12"/>
      <c r="C16" s="23">
        <f ca="1">+C8+C12</f>
        <v>0.35673032909570196</v>
      </c>
      <c r="D16" s="20"/>
      <c r="E16" s="20" t="s">
        <v>43</v>
      </c>
      <c r="F16" s="21">
        <f ca="1">NOW()+15018.5+$C$5/24</f>
        <v>59960.697486226847</v>
      </c>
    </row>
    <row r="17" spans="1:31" ht="13.5" thickBot="1" x14ac:dyDescent="0.25">
      <c r="A17" s="20" t="s">
        <v>39</v>
      </c>
      <c r="B17" s="12"/>
      <c r="C17" s="12">
        <f>COUNT(C21:C2190)</f>
        <v>31</v>
      </c>
      <c r="D17" s="20"/>
      <c r="E17" s="20" t="s">
        <v>54</v>
      </c>
      <c r="F17" s="21">
        <f ca="1">ROUND(2*(F16-$C$7)/$C$8,0)/2+F15</f>
        <v>51579</v>
      </c>
    </row>
    <row r="18" spans="1:31" ht="14.25" thickTop="1" thickBot="1" x14ac:dyDescent="0.25">
      <c r="A18" s="22" t="s">
        <v>10</v>
      </c>
      <c r="B18" s="12"/>
      <c r="C18" s="25">
        <f ca="1">+C15</f>
        <v>59367.215104188326</v>
      </c>
      <c r="D18" s="26">
        <f ca="1">+C16</f>
        <v>0.35673032909570196</v>
      </c>
      <c r="E18" s="20" t="s">
        <v>44</v>
      </c>
      <c r="F18" s="11">
        <f ca="1">ROUND(2*(F16-$C$15)/$C$16,0)/2+F15</f>
        <v>1664.5</v>
      </c>
    </row>
    <row r="19" spans="1:31" ht="13.5" thickTop="1" x14ac:dyDescent="0.2">
      <c r="E19" s="20" t="s">
        <v>45</v>
      </c>
      <c r="F19" s="24">
        <f ca="1">+$C$15+$C$16*F18-15018.5-$C$5/24</f>
        <v>44942.88857030146</v>
      </c>
    </row>
    <row r="20" spans="1:3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51</v>
      </c>
      <c r="M20" s="9" t="s">
        <v>30</v>
      </c>
      <c r="N20" s="9" t="s">
        <v>31</v>
      </c>
      <c r="O20" s="9" t="s">
        <v>28</v>
      </c>
      <c r="P20" s="8" t="s">
        <v>27</v>
      </c>
      <c r="Q20" s="6" t="s">
        <v>20</v>
      </c>
      <c r="U20" s="67" t="s">
        <v>56</v>
      </c>
    </row>
    <row r="21" spans="1:31" x14ac:dyDescent="0.2">
      <c r="A21" t="s">
        <v>17</v>
      </c>
      <c r="C21" s="15">
        <v>41561.334999999999</v>
      </c>
      <c r="D21" s="15" t="s">
        <v>19</v>
      </c>
      <c r="E21">
        <f t="shared" ref="E21:E48" si="0">+(C21-C$7)/C$8</f>
        <v>0</v>
      </c>
      <c r="F21">
        <f>ROUND(2*E21,0)/2+2</f>
        <v>2</v>
      </c>
      <c r="G21">
        <f t="shared" ref="G21:G48" si="1">+C21-(C$7+F21*C$8)</f>
        <v>-0.71345999999903142</v>
      </c>
      <c r="H21" s="11">
        <f>G21</f>
        <v>-0.71345999999903142</v>
      </c>
      <c r="O21">
        <f t="shared" ref="O21:O48" ca="1" si="2">+C$11+C$12*F21</f>
        <v>4.2458363651938724E-2</v>
      </c>
      <c r="Q21" s="2">
        <f t="shared" ref="Q21:Q48" si="3">+C21-15018.5</f>
        <v>26542.834999999999</v>
      </c>
    </row>
    <row r="22" spans="1:31" x14ac:dyDescent="0.2">
      <c r="A22" t="s">
        <v>35</v>
      </c>
      <c r="B22" s="10"/>
      <c r="C22" s="15">
        <v>50899.504500000003</v>
      </c>
      <c r="D22" s="15">
        <v>2.8E-3</v>
      </c>
      <c r="E22">
        <f t="shared" si="0"/>
        <v>26177.135368485982</v>
      </c>
      <c r="F22" s="69">
        <f>ROUND(2*E22,0)/2+0.5</f>
        <v>26177.5</v>
      </c>
      <c r="G22">
        <f t="shared" si="1"/>
        <v>-0.13007499999366701</v>
      </c>
      <c r="K22">
        <f>+G22</f>
        <v>-0.13007499999366701</v>
      </c>
      <c r="O22">
        <f t="shared" ca="1" si="2"/>
        <v>5.1072608198521399E-2</v>
      </c>
      <c r="Q22" s="2">
        <f t="shared" si="3"/>
        <v>35881.004500000003</v>
      </c>
    </row>
    <row r="23" spans="1:31" x14ac:dyDescent="0.2">
      <c r="A23" s="31" t="s">
        <v>33</v>
      </c>
      <c r="B23" s="31"/>
      <c r="C23" s="32">
        <v>51040.420700000002</v>
      </c>
      <c r="D23" s="32">
        <v>1.4E-3</v>
      </c>
      <c r="E23" s="31">
        <f t="shared" si="0"/>
        <v>26572.157373924267</v>
      </c>
      <c r="F23" s="69">
        <f>ROUND(2*E23,0)/2+0.5</f>
        <v>26572.5</v>
      </c>
      <c r="G23">
        <f t="shared" si="1"/>
        <v>-0.12222499999916181</v>
      </c>
      <c r="J23">
        <f>+G23</f>
        <v>-0.12222499999916181</v>
      </c>
      <c r="O23">
        <f t="shared" ca="1" si="2"/>
        <v>5.1202601000794525E-2</v>
      </c>
      <c r="Q23" s="2">
        <f t="shared" si="3"/>
        <v>36021.920700000002</v>
      </c>
      <c r="AA23">
        <v>14</v>
      </c>
      <c r="AC23" t="s">
        <v>32</v>
      </c>
      <c r="AE23" t="s">
        <v>34</v>
      </c>
    </row>
    <row r="24" spans="1:31" x14ac:dyDescent="0.2">
      <c r="A24" s="31" t="s">
        <v>35</v>
      </c>
      <c r="B24" s="33"/>
      <c r="C24" s="32">
        <v>51120.281499999997</v>
      </c>
      <c r="D24" s="32">
        <v>2.3999999999999998E-3</v>
      </c>
      <c r="E24" s="31">
        <f t="shared" si="0"/>
        <v>26796.02640652594</v>
      </c>
      <c r="F24" s="69">
        <f>ROUND(2*E24,0)/2+0.5</f>
        <v>26796.5</v>
      </c>
      <c r="G24">
        <f t="shared" si="1"/>
        <v>-0.16894499999762047</v>
      </c>
      <c r="J24">
        <f>+G24</f>
        <v>-0.16894499999762047</v>
      </c>
      <c r="O24">
        <f t="shared" ca="1" si="2"/>
        <v>5.1276318438032958E-2</v>
      </c>
      <c r="Q24" s="2">
        <f t="shared" si="3"/>
        <v>36101.781499999997</v>
      </c>
    </row>
    <row r="25" spans="1:31" x14ac:dyDescent="0.2">
      <c r="A25" s="34" t="s">
        <v>49</v>
      </c>
      <c r="B25" s="35" t="s">
        <v>37</v>
      </c>
      <c r="C25" s="34">
        <v>52061.431640000003</v>
      </c>
      <c r="D25" s="34">
        <v>3.5999999999999999E-3</v>
      </c>
      <c r="E25" s="31">
        <f t="shared" si="0"/>
        <v>29434.296638914595</v>
      </c>
      <c r="F25">
        <f t="shared" ref="F25:F50" si="4">ROUND(2*E25,0)/2</f>
        <v>29434.5</v>
      </c>
      <c r="G25">
        <f t="shared" si="1"/>
        <v>-7.2544999995443504E-2</v>
      </c>
      <c r="K25">
        <f>+G25</f>
        <v>-7.2544999995443504E-2</v>
      </c>
      <c r="O25">
        <f t="shared" ca="1" si="2"/>
        <v>5.2144472899796249E-2</v>
      </c>
      <c r="Q25" s="2">
        <f t="shared" si="3"/>
        <v>37042.931640000003</v>
      </c>
    </row>
    <row r="26" spans="1:31" x14ac:dyDescent="0.2">
      <c r="A26" s="62" t="s">
        <v>100</v>
      </c>
      <c r="B26" s="61" t="s">
        <v>194</v>
      </c>
      <c r="C26" s="62">
        <v>52483.463000000003</v>
      </c>
      <c r="D26" s="62" t="s">
        <v>73</v>
      </c>
      <c r="E26" s="31">
        <f t="shared" si="0"/>
        <v>30617.352058980192</v>
      </c>
      <c r="F26">
        <f t="shared" si="4"/>
        <v>30617.5</v>
      </c>
      <c r="G26">
        <f t="shared" si="1"/>
        <v>-5.2774999996472616E-2</v>
      </c>
      <c r="I26">
        <f>+G26</f>
        <v>-5.2774999996472616E-2</v>
      </c>
      <c r="O26">
        <f t="shared" ca="1" si="2"/>
        <v>5.253379311521171E-2</v>
      </c>
      <c r="Q26" s="2">
        <f t="shared" si="3"/>
        <v>37464.963000000003</v>
      </c>
    </row>
    <row r="27" spans="1:31" x14ac:dyDescent="0.2">
      <c r="A27" s="32" t="s">
        <v>36</v>
      </c>
      <c r="B27" s="36" t="s">
        <v>37</v>
      </c>
      <c r="C27" s="37">
        <v>53174.841</v>
      </c>
      <c r="D27" s="38">
        <v>5.0000000000000001E-3</v>
      </c>
      <c r="E27" s="31">
        <f t="shared" si="0"/>
        <v>32555.450901241838</v>
      </c>
      <c r="F27">
        <f t="shared" si="4"/>
        <v>32555.5</v>
      </c>
      <c r="G27">
        <f t="shared" si="1"/>
        <v>-1.7514999999548309E-2</v>
      </c>
      <c r="K27">
        <f>+G27</f>
        <v>-1.7514999999548309E-2</v>
      </c>
      <c r="O27">
        <f t="shared" ca="1" si="2"/>
        <v>5.3171580585604908E-2</v>
      </c>
      <c r="Q27" s="2">
        <f t="shared" si="3"/>
        <v>38156.341</v>
      </c>
    </row>
    <row r="28" spans="1:31" x14ac:dyDescent="0.2">
      <c r="A28" s="39" t="s">
        <v>46</v>
      </c>
      <c r="B28" s="31"/>
      <c r="C28" s="32">
        <v>53815.94</v>
      </c>
      <c r="D28" s="32">
        <v>1E-3</v>
      </c>
      <c r="E28" s="31">
        <f t="shared" si="0"/>
        <v>34352.60561208758</v>
      </c>
      <c r="F28">
        <f t="shared" si="4"/>
        <v>34352.5</v>
      </c>
      <c r="G28">
        <f t="shared" si="1"/>
        <v>3.7674999999580905E-2</v>
      </c>
      <c r="K28" s="31">
        <f>G28</f>
        <v>3.7674999999580905E-2</v>
      </c>
      <c r="O28">
        <f t="shared" ca="1" si="2"/>
        <v>5.3762965562022133E-2</v>
      </c>
      <c r="Q28" s="2">
        <f t="shared" si="3"/>
        <v>38797.440000000002</v>
      </c>
    </row>
    <row r="29" spans="1:31" x14ac:dyDescent="0.2">
      <c r="A29" s="40" t="s">
        <v>40</v>
      </c>
      <c r="B29" s="33"/>
      <c r="C29" s="32">
        <v>53849.4764</v>
      </c>
      <c r="D29" s="32">
        <v>6.0000000000000001E-3</v>
      </c>
      <c r="E29" s="31">
        <f t="shared" si="0"/>
        <v>34446.61620833684</v>
      </c>
      <c r="F29">
        <f t="shared" si="4"/>
        <v>34446.5</v>
      </c>
      <c r="G29">
        <f t="shared" si="1"/>
        <v>4.1454999998677522E-2</v>
      </c>
      <c r="J29">
        <f>+G29</f>
        <v>4.1454999998677522E-2</v>
      </c>
      <c r="O29">
        <f t="shared" ca="1" si="2"/>
        <v>5.3793900558006119E-2</v>
      </c>
      <c r="Q29" s="2">
        <f t="shared" si="3"/>
        <v>38830.9764</v>
      </c>
    </row>
    <row r="30" spans="1:31" x14ac:dyDescent="0.2">
      <c r="A30" s="40" t="s">
        <v>48</v>
      </c>
      <c r="B30" s="41" t="s">
        <v>37</v>
      </c>
      <c r="C30" s="32">
        <v>54297.536</v>
      </c>
      <c r="D30" s="42"/>
      <c r="E30" s="31">
        <f t="shared" si="0"/>
        <v>35702.635046113312</v>
      </c>
      <c r="F30">
        <f t="shared" si="4"/>
        <v>35702.5</v>
      </c>
      <c r="G30">
        <f t="shared" si="1"/>
        <v>4.8175000003539026E-2</v>
      </c>
      <c r="J30">
        <f>+G30</f>
        <v>4.8175000003539026E-2</v>
      </c>
      <c r="O30">
        <f t="shared" ca="1" si="2"/>
        <v>5.4207244759664458E-2</v>
      </c>
      <c r="Q30" s="2">
        <f t="shared" si="3"/>
        <v>39279.036</v>
      </c>
    </row>
    <row r="31" spans="1:31" x14ac:dyDescent="0.2">
      <c r="A31" s="32" t="s">
        <v>50</v>
      </c>
      <c r="B31" s="41" t="s">
        <v>37</v>
      </c>
      <c r="C31" s="32">
        <v>54584.354659999997</v>
      </c>
      <c r="D31" s="32">
        <v>5.0000000000000001E-3</v>
      </c>
      <c r="E31" s="31">
        <f t="shared" si="0"/>
        <v>36506.656743195126</v>
      </c>
      <c r="F31">
        <f t="shared" si="4"/>
        <v>36506.5</v>
      </c>
      <c r="G31">
        <f t="shared" si="1"/>
        <v>5.5914999997185078E-2</v>
      </c>
      <c r="K31">
        <f>+G31</f>
        <v>5.5914999997185078E-2</v>
      </c>
      <c r="O31">
        <f t="shared" ca="1" si="2"/>
        <v>5.4471837704038101E-2</v>
      </c>
      <c r="Q31" s="2">
        <f t="shared" si="3"/>
        <v>39565.854659999997</v>
      </c>
    </row>
    <row r="32" spans="1:31" x14ac:dyDescent="0.2">
      <c r="A32" s="58" t="s">
        <v>62</v>
      </c>
      <c r="B32" s="59" t="s">
        <v>37</v>
      </c>
      <c r="C32" s="60">
        <v>54778.078000000001</v>
      </c>
      <c r="D32" s="60">
        <v>0.01</v>
      </c>
      <c r="E32" s="31">
        <f t="shared" si="0"/>
        <v>37049.709864603486</v>
      </c>
      <c r="F32">
        <f t="shared" si="4"/>
        <v>37049.5</v>
      </c>
      <c r="G32">
        <f t="shared" si="1"/>
        <v>7.4865000002318993E-2</v>
      </c>
      <c r="I32">
        <f>+G32</f>
        <v>7.4865000002318993E-2</v>
      </c>
      <c r="O32">
        <f t="shared" ca="1" si="2"/>
        <v>5.4650536670200908E-2</v>
      </c>
      <c r="Q32" s="2">
        <f t="shared" si="3"/>
        <v>39759.578000000001</v>
      </c>
    </row>
    <row r="33" spans="1:17" x14ac:dyDescent="0.2">
      <c r="A33" s="34" t="s">
        <v>52</v>
      </c>
      <c r="B33" s="35" t="s">
        <v>37</v>
      </c>
      <c r="C33" s="34">
        <v>55321.714</v>
      </c>
      <c r="D33" s="34">
        <v>2E-3</v>
      </c>
      <c r="E33" s="31">
        <f t="shared" si="0"/>
        <v>38573.652342107482</v>
      </c>
      <c r="F33">
        <f t="shared" si="4"/>
        <v>38573.5</v>
      </c>
      <c r="G33">
        <f t="shared" si="1"/>
        <v>5.4345000004104804E-2</v>
      </c>
      <c r="K33">
        <f>G33</f>
        <v>5.4345000004104804E-2</v>
      </c>
      <c r="O33">
        <f t="shared" ca="1" si="2"/>
        <v>5.5152078519983792E-2</v>
      </c>
      <c r="Q33" s="2">
        <f t="shared" si="3"/>
        <v>40303.214</v>
      </c>
    </row>
    <row r="34" spans="1:17" x14ac:dyDescent="0.2">
      <c r="A34" s="34" t="s">
        <v>52</v>
      </c>
      <c r="B34" s="35" t="s">
        <v>37</v>
      </c>
      <c r="C34" s="34">
        <v>55321.714</v>
      </c>
      <c r="D34" s="34">
        <v>2E-3</v>
      </c>
      <c r="E34" s="31">
        <f t="shared" si="0"/>
        <v>38573.652342107482</v>
      </c>
      <c r="F34">
        <f t="shared" si="4"/>
        <v>38573.5</v>
      </c>
      <c r="G34">
        <f t="shared" si="1"/>
        <v>5.4345000004104804E-2</v>
      </c>
      <c r="K34">
        <f>G34</f>
        <v>5.4345000004104804E-2</v>
      </c>
      <c r="O34">
        <f t="shared" ca="1" si="2"/>
        <v>5.5152078519983792E-2</v>
      </c>
      <c r="Q34" s="2">
        <f t="shared" si="3"/>
        <v>40303.214</v>
      </c>
    </row>
    <row r="35" spans="1:17" x14ac:dyDescent="0.2">
      <c r="A35" s="34" t="s">
        <v>55</v>
      </c>
      <c r="B35" s="35" t="s">
        <v>37</v>
      </c>
      <c r="C35" s="34">
        <v>55685.598299999998</v>
      </c>
      <c r="D35" s="34">
        <v>4.1999999999999997E-3</v>
      </c>
      <c r="E35" s="31">
        <f t="shared" si="0"/>
        <v>39593.707565946228</v>
      </c>
      <c r="F35">
        <f t="shared" si="4"/>
        <v>39593.5</v>
      </c>
      <c r="G35">
        <f t="shared" si="1"/>
        <v>7.4045000001206063E-2</v>
      </c>
      <c r="J35">
        <f t="shared" ref="J35:J45" si="5">+G35</f>
        <v>7.4045000001206063E-2</v>
      </c>
      <c r="O35">
        <f t="shared" ca="1" si="2"/>
        <v>5.5487756135980212E-2</v>
      </c>
      <c r="Q35" s="2">
        <f t="shared" si="3"/>
        <v>40667.098299999998</v>
      </c>
    </row>
    <row r="36" spans="1:17" x14ac:dyDescent="0.2">
      <c r="A36" s="40" t="s">
        <v>57</v>
      </c>
      <c r="B36" s="41" t="s">
        <v>37</v>
      </c>
      <c r="C36" s="32">
        <v>56055.511700000003</v>
      </c>
      <c r="D36" s="32">
        <v>6.8999999999999999E-3</v>
      </c>
      <c r="E36" s="31">
        <f t="shared" si="0"/>
        <v>40630.663807361321</v>
      </c>
      <c r="F36">
        <f t="shared" si="4"/>
        <v>40630.5</v>
      </c>
      <c r="G36">
        <f t="shared" si="1"/>
        <v>5.8435000006284099E-2</v>
      </c>
      <c r="J36">
        <f t="shared" si="5"/>
        <v>5.8435000006284099E-2</v>
      </c>
      <c r="O36">
        <f t="shared" ca="1" si="2"/>
        <v>5.5829028378909913E-2</v>
      </c>
      <c r="Q36" s="2">
        <f t="shared" si="3"/>
        <v>41037.011700000003</v>
      </c>
    </row>
    <row r="37" spans="1:17" x14ac:dyDescent="0.2">
      <c r="A37" s="33" t="s">
        <v>60</v>
      </c>
      <c r="B37" s="36" t="s">
        <v>37</v>
      </c>
      <c r="C37" s="32">
        <v>56390.466800000002</v>
      </c>
      <c r="D37" s="37">
        <v>2.8E-3</v>
      </c>
      <c r="E37" s="31">
        <f t="shared" si="0"/>
        <v>41569.623524794675</v>
      </c>
      <c r="F37">
        <f t="shared" si="4"/>
        <v>41569.5</v>
      </c>
      <c r="G37">
        <f t="shared" si="1"/>
        <v>4.4065000001864973E-2</v>
      </c>
      <c r="J37">
        <f t="shared" si="5"/>
        <v>4.4065000001864973E-2</v>
      </c>
      <c r="O37">
        <f t="shared" ca="1" si="2"/>
        <v>5.6138049243047793E-2</v>
      </c>
      <c r="Q37" s="2">
        <f t="shared" si="3"/>
        <v>41371.966800000002</v>
      </c>
    </row>
    <row r="38" spans="1:17" x14ac:dyDescent="0.2">
      <c r="A38" s="32" t="s">
        <v>58</v>
      </c>
      <c r="B38" s="41" t="s">
        <v>37</v>
      </c>
      <c r="C38" s="32">
        <v>56450.420400000003</v>
      </c>
      <c r="D38" s="32">
        <v>8.9999999999999993E-3</v>
      </c>
      <c r="E38" s="31">
        <f t="shared" si="0"/>
        <v>41737.687887197615</v>
      </c>
      <c r="F38">
        <f t="shared" si="4"/>
        <v>41737.5</v>
      </c>
      <c r="G38">
        <f t="shared" si="1"/>
        <v>6.7025000003923196E-2</v>
      </c>
      <c r="J38">
        <f t="shared" si="5"/>
        <v>6.7025000003923196E-2</v>
      </c>
      <c r="O38">
        <f t="shared" ca="1" si="2"/>
        <v>5.6193337320976616E-2</v>
      </c>
      <c r="Q38" s="2">
        <f t="shared" si="3"/>
        <v>41431.920400000003</v>
      </c>
    </row>
    <row r="39" spans="1:17" x14ac:dyDescent="0.2">
      <c r="A39" s="32" t="s">
        <v>58</v>
      </c>
      <c r="B39" s="41" t="s">
        <v>37</v>
      </c>
      <c r="C39" s="32">
        <v>56451.490599999997</v>
      </c>
      <c r="D39" s="32">
        <v>5.0000000000000001E-3</v>
      </c>
      <c r="E39" s="31">
        <f t="shared" si="0"/>
        <v>41740.687915230003</v>
      </c>
      <c r="F39">
        <f t="shared" si="4"/>
        <v>41740.5</v>
      </c>
      <c r="G39">
        <f t="shared" si="1"/>
        <v>6.7035000000032596E-2</v>
      </c>
      <c r="J39">
        <f t="shared" si="5"/>
        <v>6.7035000000032596E-2</v>
      </c>
      <c r="O39">
        <f t="shared" ca="1" si="2"/>
        <v>5.6194324608082491E-2</v>
      </c>
      <c r="Q39" s="2">
        <f t="shared" si="3"/>
        <v>41432.990599999997</v>
      </c>
    </row>
    <row r="40" spans="1:17" x14ac:dyDescent="0.2">
      <c r="A40" s="33" t="s">
        <v>60</v>
      </c>
      <c r="B40" s="36" t="s">
        <v>37</v>
      </c>
      <c r="C40" s="32">
        <v>56492.518700000001</v>
      </c>
      <c r="D40" s="37">
        <v>2.2000000000000001E-3</v>
      </c>
      <c r="E40" s="31">
        <f t="shared" si="0"/>
        <v>41855.699548678276</v>
      </c>
      <c r="F40">
        <f t="shared" si="4"/>
        <v>41855.5</v>
      </c>
      <c r="G40">
        <f t="shared" si="1"/>
        <v>7.1185000000696164E-2</v>
      </c>
      <c r="J40">
        <f t="shared" si="5"/>
        <v>7.1185000000696164E-2</v>
      </c>
      <c r="O40">
        <f t="shared" ca="1" si="2"/>
        <v>5.6232170613807572E-2</v>
      </c>
      <c r="Q40" s="2">
        <f t="shared" si="3"/>
        <v>41474.018700000001</v>
      </c>
    </row>
    <row r="41" spans="1:17" x14ac:dyDescent="0.2">
      <c r="A41" s="33" t="s">
        <v>60</v>
      </c>
      <c r="B41" s="36" t="s">
        <v>37</v>
      </c>
      <c r="C41" s="32">
        <v>56496.422700000003</v>
      </c>
      <c r="D41" s="37">
        <v>2.7000000000000001E-3</v>
      </c>
      <c r="E41" s="31">
        <f t="shared" si="0"/>
        <v>41866.643399770146</v>
      </c>
      <c r="F41">
        <f t="shared" si="4"/>
        <v>41866.5</v>
      </c>
      <c r="G41">
        <f t="shared" si="1"/>
        <v>5.115500000101747E-2</v>
      </c>
      <c r="J41">
        <f t="shared" si="5"/>
        <v>5.115500000101747E-2</v>
      </c>
      <c r="O41">
        <f t="shared" ca="1" si="2"/>
        <v>5.6235790666529104E-2</v>
      </c>
      <c r="Q41" s="2">
        <f t="shared" si="3"/>
        <v>41477.922700000003</v>
      </c>
    </row>
    <row r="42" spans="1:17" x14ac:dyDescent="0.2">
      <c r="A42" s="33" t="s">
        <v>60</v>
      </c>
      <c r="B42" s="36" t="s">
        <v>37</v>
      </c>
      <c r="C42" s="32">
        <v>56506.438499999997</v>
      </c>
      <c r="D42" s="37">
        <v>2.5000000000000001E-3</v>
      </c>
      <c r="E42" s="31">
        <f t="shared" si="0"/>
        <v>41894.720096431469</v>
      </c>
      <c r="F42">
        <f t="shared" si="4"/>
        <v>41894.5</v>
      </c>
      <c r="G42">
        <f t="shared" si="1"/>
        <v>7.851499999378575E-2</v>
      </c>
      <c r="J42">
        <f t="shared" si="5"/>
        <v>7.851499999378575E-2</v>
      </c>
      <c r="O42">
        <f t="shared" ca="1" si="2"/>
        <v>5.6245005346183909E-2</v>
      </c>
      <c r="Q42" s="2">
        <f t="shared" si="3"/>
        <v>41487.938499999997</v>
      </c>
    </row>
    <row r="43" spans="1:17" x14ac:dyDescent="0.2">
      <c r="A43" s="37" t="s">
        <v>61</v>
      </c>
      <c r="B43" s="41"/>
      <c r="C43" s="37">
        <v>56827.453600000001</v>
      </c>
      <c r="D43" s="37">
        <v>2.0000000000000001E-4</v>
      </c>
      <c r="E43" s="31">
        <f t="shared" si="0"/>
        <v>42794.6026406526</v>
      </c>
      <c r="F43">
        <f t="shared" si="4"/>
        <v>42794.5</v>
      </c>
      <c r="G43">
        <f t="shared" si="1"/>
        <v>3.6615000004530884E-2</v>
      </c>
      <c r="J43">
        <f t="shared" si="5"/>
        <v>3.6615000004530884E-2</v>
      </c>
      <c r="O43">
        <f t="shared" ca="1" si="2"/>
        <v>5.6541191477945452E-2</v>
      </c>
      <c r="Q43" s="2">
        <f t="shared" si="3"/>
        <v>41808.953600000001</v>
      </c>
    </row>
    <row r="44" spans="1:17" x14ac:dyDescent="0.2">
      <c r="A44" s="72" t="s">
        <v>74</v>
      </c>
      <c r="B44" s="73"/>
      <c r="C44" s="72">
        <v>57133.5262</v>
      </c>
      <c r="D44" s="72">
        <v>4.0000000000000002E-4</v>
      </c>
      <c r="E44" s="31">
        <f t="shared" si="0"/>
        <v>43652.597763014048</v>
      </c>
      <c r="F44">
        <f t="shared" si="4"/>
        <v>43652.5</v>
      </c>
      <c r="G44">
        <f t="shared" si="1"/>
        <v>3.4875000004831236E-2</v>
      </c>
      <c r="J44">
        <f t="shared" si="5"/>
        <v>3.4875000004831236E-2</v>
      </c>
      <c r="O44">
        <f t="shared" ca="1" si="2"/>
        <v>5.6823555590224797E-2</v>
      </c>
      <c r="Q44" s="2">
        <f t="shared" si="3"/>
        <v>42115.0262</v>
      </c>
    </row>
    <row r="45" spans="1:17" x14ac:dyDescent="0.2">
      <c r="A45" s="72" t="s">
        <v>74</v>
      </c>
      <c r="B45" s="73"/>
      <c r="C45" s="72">
        <v>57158.536800000002</v>
      </c>
      <c r="D45" s="72">
        <v>1E-4</v>
      </c>
      <c r="E45" s="31">
        <f t="shared" si="0"/>
        <v>43722.708491015619</v>
      </c>
      <c r="F45">
        <f t="shared" si="4"/>
        <v>43722.5</v>
      </c>
      <c r="G45">
        <f t="shared" si="1"/>
        <v>7.4375000003783498E-2</v>
      </c>
      <c r="J45">
        <f t="shared" si="5"/>
        <v>7.4375000003783498E-2</v>
      </c>
      <c r="O45">
        <f t="shared" ca="1" si="2"/>
        <v>5.6846592289361807E-2</v>
      </c>
      <c r="Q45" s="2">
        <f t="shared" si="3"/>
        <v>42140.036800000002</v>
      </c>
    </row>
    <row r="46" spans="1:17" x14ac:dyDescent="0.2">
      <c r="A46" s="74" t="s">
        <v>1</v>
      </c>
      <c r="B46" s="75" t="s">
        <v>37</v>
      </c>
      <c r="C46" s="76">
        <v>57513.436000000002</v>
      </c>
      <c r="D46" s="76">
        <v>2.9999999999999997E-4</v>
      </c>
      <c r="E46" s="31">
        <f t="shared" si="0"/>
        <v>44717.576318223873</v>
      </c>
      <c r="F46">
        <f t="shared" si="4"/>
        <v>44717.5</v>
      </c>
      <c r="G46">
        <f t="shared" si="1"/>
        <v>2.7225000005273614E-2</v>
      </c>
      <c r="K46">
        <f>G46</f>
        <v>2.7225000005273614E-2</v>
      </c>
      <c r="O46">
        <f t="shared" ca="1" si="2"/>
        <v>5.7174042512809296E-2</v>
      </c>
      <c r="Q46" s="2">
        <f t="shared" si="3"/>
        <v>42494.936000000002</v>
      </c>
    </row>
    <row r="47" spans="1:17" x14ac:dyDescent="0.2">
      <c r="A47" s="74" t="s">
        <v>1</v>
      </c>
      <c r="B47" s="75" t="s">
        <v>37</v>
      </c>
      <c r="C47" s="76">
        <v>57515.5916</v>
      </c>
      <c r="D47" s="76">
        <v>5.0000000000000001E-4</v>
      </c>
      <c r="E47" s="31">
        <f t="shared" si="0"/>
        <v>44723.618983544984</v>
      </c>
      <c r="F47">
        <f t="shared" si="4"/>
        <v>44723.5</v>
      </c>
      <c r="G47">
        <f t="shared" si="1"/>
        <v>4.244499999913387E-2</v>
      </c>
      <c r="K47">
        <f>G47</f>
        <v>4.244499999913387E-2</v>
      </c>
      <c r="O47">
        <f t="shared" ca="1" si="2"/>
        <v>5.7176017087021039E-2</v>
      </c>
      <c r="Q47" s="2">
        <f t="shared" si="3"/>
        <v>42497.0916</v>
      </c>
    </row>
    <row r="48" spans="1:17" x14ac:dyDescent="0.2">
      <c r="A48" s="74" t="s">
        <v>1</v>
      </c>
      <c r="B48" s="75" t="s">
        <v>37</v>
      </c>
      <c r="C48" s="76">
        <v>57528.448100000001</v>
      </c>
      <c r="D48" s="76">
        <v>5.0000000000000001E-4</v>
      </c>
      <c r="E48" s="31">
        <f t="shared" si="0"/>
        <v>44759.658845625549</v>
      </c>
      <c r="F48">
        <f t="shared" si="4"/>
        <v>44759.5</v>
      </c>
      <c r="G48">
        <f t="shared" si="1"/>
        <v>5.6665000003704336E-2</v>
      </c>
      <c r="K48">
        <f>G48</f>
        <v>5.6665000003704336E-2</v>
      </c>
      <c r="O48">
        <f t="shared" ca="1" si="2"/>
        <v>5.7187864532291501E-2</v>
      </c>
      <c r="Q48" s="2">
        <f t="shared" si="3"/>
        <v>42509.948100000001</v>
      </c>
    </row>
    <row r="49" spans="1:17" x14ac:dyDescent="0.2">
      <c r="A49" s="77" t="s">
        <v>0</v>
      </c>
      <c r="B49" s="78" t="s">
        <v>37</v>
      </c>
      <c r="C49" s="78">
        <v>57899.451399999998</v>
      </c>
      <c r="D49" s="78">
        <v>4.0000000000000002E-4</v>
      </c>
      <c r="E49" s="31">
        <f>+(C49-C$7)/C$8</f>
        <v>45799.670338911783</v>
      </c>
      <c r="F49">
        <f t="shared" si="4"/>
        <v>45799.5</v>
      </c>
      <c r="G49">
        <f>+C49-(C$7+F49*C$8)</f>
        <v>6.076500000199303E-2</v>
      </c>
      <c r="K49">
        <f>G49</f>
        <v>6.076500000199303E-2</v>
      </c>
      <c r="O49">
        <f ca="1">+C$11+C$12*F49</f>
        <v>5.7530124062327069E-2</v>
      </c>
      <c r="Q49" s="2">
        <f>+C49-15018.5</f>
        <v>42880.951399999998</v>
      </c>
    </row>
    <row r="50" spans="1:17" x14ac:dyDescent="0.2">
      <c r="A50" s="77" t="s">
        <v>0</v>
      </c>
      <c r="B50" s="78" t="s">
        <v>37</v>
      </c>
      <c r="C50" s="78">
        <v>57919.433299999997</v>
      </c>
      <c r="D50" s="78">
        <v>6.9999999999999999E-4</v>
      </c>
      <c r="E50" s="31">
        <f>+(C50-C$7)/C$8</f>
        <v>45855.684411179318</v>
      </c>
      <c r="F50">
        <f t="shared" si="4"/>
        <v>45855.5</v>
      </c>
      <c r="G50">
        <f>+C50-(C$7+F50*C$8)</f>
        <v>6.5784999998868443E-2</v>
      </c>
      <c r="K50">
        <f>G50</f>
        <v>6.5784999998868443E-2</v>
      </c>
      <c r="O50">
        <f ca="1">+C$11+C$12*F50</f>
        <v>5.7548553421636679E-2</v>
      </c>
      <c r="Q50" s="2">
        <f>+C50-15018.5</f>
        <v>42900.933299999997</v>
      </c>
    </row>
    <row r="51" spans="1:17" x14ac:dyDescent="0.2">
      <c r="A51" s="79" t="s">
        <v>196</v>
      </c>
      <c r="B51" s="80" t="s">
        <v>37</v>
      </c>
      <c r="C51" s="81">
        <v>59367.407200000001</v>
      </c>
      <c r="D51" s="79">
        <v>6.9999999999999999E-4</v>
      </c>
      <c r="E51" s="31">
        <f>+(C51-C$7)/C$8</f>
        <v>49914.703557312263</v>
      </c>
      <c r="F51">
        <f t="shared" ref="F51" si="6">ROUND(2*E51,0)/2</f>
        <v>49914.5</v>
      </c>
      <c r="G51">
        <f>+C51-(C$7+F51*C$8)</f>
        <v>7.2614999997313134E-2</v>
      </c>
      <c r="K51">
        <f>G51</f>
        <v>7.2614999997313134E-2</v>
      </c>
      <c r="O51">
        <f ca="1">+C$11+C$12*F51</f>
        <v>5.8884352875881257E-2</v>
      </c>
      <c r="Q51" s="2">
        <f>+C51-15018.5</f>
        <v>44348.907200000001</v>
      </c>
    </row>
  </sheetData>
  <phoneticPr fontId="8" type="noConversion"/>
  <hyperlinks>
    <hyperlink ref="H191" r:id="rId1" display="http://vsolj.cetus-net.org/bulletin.html"/>
    <hyperlink ref="H184" r:id="rId2" display="http://vsolj.cetus-net.org/bulletin.html"/>
    <hyperlink ref="H64389" r:id="rId3" display="http://vsolj.cetus-net.org/bulletin.html"/>
    <hyperlink ref="H64382" r:id="rId4" display="https://www.aavso.org/ejaavso"/>
    <hyperlink ref="AP533" r:id="rId5" display="http://cdsbib.u-strasbg.fr/cgi-bin/cdsbib?1990RMxAA..21..381G"/>
    <hyperlink ref="AP537" r:id="rId6" display="http://cdsbib.u-strasbg.fr/cgi-bin/cdsbib?1990RMxAA..21..381G"/>
    <hyperlink ref="AP536" r:id="rId7" display="http://cdsbib.u-strasbg.fr/cgi-bin/cdsbib?1990RMxAA..21..381G"/>
    <hyperlink ref="AP517" r:id="rId8" display="http://cdsbib.u-strasbg.fr/cgi-bin/cdsbib?1990RMxAA..21..381G"/>
    <hyperlink ref="I64389" r:id="rId9" display="http://vsolj.cetus-net.org/bulletin.html"/>
    <hyperlink ref="AQ673" r:id="rId10" display="http://cdsbib.u-strasbg.fr/cgi-bin/cdsbib?1990RMxAA..21..381G"/>
    <hyperlink ref="AQ55439" r:id="rId11" display="http://cdsbib.u-strasbg.fr/cgi-bin/cdsbib?1990RMxAA..21..381G"/>
    <hyperlink ref="AQ674" r:id="rId12" display="http://cdsbib.u-strasbg.fr/cgi-bin/cdsbib?1990RMxAA..21..381G"/>
    <hyperlink ref="H64386" r:id="rId13" display="https://www.aavso.org/ejaavso"/>
    <hyperlink ref="H1559" r:id="rId14" display="http://vsolj.cetus-net.org/bulletin.html"/>
    <hyperlink ref="AP2803" r:id="rId15" display="http://cdsbib.u-strasbg.fr/cgi-bin/cdsbib?1990RMxAA..21..381G"/>
    <hyperlink ref="AP2806" r:id="rId16" display="http://cdsbib.u-strasbg.fr/cgi-bin/cdsbib?1990RMxAA..21..381G"/>
    <hyperlink ref="AP2804" r:id="rId17" display="http://cdsbib.u-strasbg.fr/cgi-bin/cdsbib?1990RMxAA..21..381G"/>
    <hyperlink ref="AP2788" r:id="rId18" display="http://cdsbib.u-strasbg.fr/cgi-bin/cdsbib?1990RMxAA..21..381G"/>
    <hyperlink ref="I1559" r:id="rId19" display="http://vsolj.cetus-net.org/bulletin.html"/>
    <hyperlink ref="AQ3017" r:id="rId20" display="http://cdsbib.u-strasbg.fr/cgi-bin/cdsbib?1990RMxAA..21..381G"/>
    <hyperlink ref="AQ65254" r:id="rId21" display="http://cdsbib.u-strasbg.fr/cgi-bin/cdsbib?1990RMxAA..21..381G"/>
    <hyperlink ref="AQ3021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50" sqref="E50:Q51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style="5" customWidth="1"/>
    <col min="19" max="20" width="10.28515625" style="5" customWidth="1"/>
    <col min="21" max="21" width="10.28515625" style="66" customWidth="1"/>
  </cols>
  <sheetData>
    <row r="1" spans="1:6" ht="20.25" x14ac:dyDescent="0.3">
      <c r="A1" s="82" t="s">
        <v>197</v>
      </c>
      <c r="E1">
        <v>0.210953</v>
      </c>
    </row>
    <row r="2" spans="1:6" x14ac:dyDescent="0.2">
      <c r="A2" t="s">
        <v>29</v>
      </c>
      <c r="B2" s="14" t="s">
        <v>38</v>
      </c>
    </row>
    <row r="3" spans="1:6" ht="13.5" thickBot="1" x14ac:dyDescent="0.25"/>
    <row r="4" spans="1:6" ht="14.25" thickTop="1" thickBot="1" x14ac:dyDescent="0.25">
      <c r="A4" s="7" t="s">
        <v>5</v>
      </c>
      <c r="C4" s="3">
        <v>41561.334999999999</v>
      </c>
      <c r="D4" s="4">
        <v>0.52551119999999996</v>
      </c>
    </row>
    <row r="5" spans="1:6" ht="13.5" thickTop="1" x14ac:dyDescent="0.2">
      <c r="A5" s="16" t="s">
        <v>41</v>
      </c>
      <c r="B5" s="12"/>
      <c r="C5" s="17">
        <v>8</v>
      </c>
      <c r="D5" s="12" t="s">
        <v>42</v>
      </c>
    </row>
    <row r="6" spans="1:6" x14ac:dyDescent="0.2">
      <c r="A6" s="7" t="s">
        <v>6</v>
      </c>
      <c r="C6" s="11"/>
    </row>
    <row r="7" spans="1:6" x14ac:dyDescent="0.2">
      <c r="A7" t="s">
        <v>7</v>
      </c>
      <c r="C7">
        <f>+C4</f>
        <v>41561.334999999999</v>
      </c>
    </row>
    <row r="8" spans="1:6" x14ac:dyDescent="0.2">
      <c r="A8" t="s">
        <v>8</v>
      </c>
      <c r="C8" s="71">
        <v>0.35683399999999998</v>
      </c>
      <c r="D8" s="30" t="s">
        <v>4</v>
      </c>
      <c r="E8" s="13"/>
    </row>
    <row r="9" spans="1:6" x14ac:dyDescent="0.2">
      <c r="A9" s="29" t="s">
        <v>47</v>
      </c>
      <c r="B9" s="68">
        <v>26</v>
      </c>
      <c r="C9" s="28" t="str">
        <f>"F"&amp;B9</f>
        <v>F26</v>
      </c>
      <c r="D9" s="11" t="str">
        <f>"G"&amp;B9</f>
        <v>G26</v>
      </c>
    </row>
    <row r="10" spans="1:6" ht="13.5" thickBot="1" x14ac:dyDescent="0.25">
      <c r="A10" s="12"/>
      <c r="B10" s="12"/>
      <c r="C10" s="6" t="s">
        <v>25</v>
      </c>
      <c r="D10" s="6" t="s">
        <v>26</v>
      </c>
      <c r="E10" s="12"/>
    </row>
    <row r="11" spans="1:6" x14ac:dyDescent="0.2">
      <c r="A11" s="12" t="s">
        <v>21</v>
      </c>
      <c r="B11" s="12"/>
      <c r="C11" s="27">
        <f ca="1">INTERCEPT(INDIRECT($D$9):G991,INDIRECT($C$9):F991)</f>
        <v>1.0417247036276554E-2</v>
      </c>
      <c r="D11" s="5"/>
      <c r="E11" s="12"/>
    </row>
    <row r="12" spans="1:6" x14ac:dyDescent="0.2">
      <c r="A12" s="12" t="s">
        <v>22</v>
      </c>
      <c r="B12" s="12"/>
      <c r="C12" s="27">
        <f ca="1">SLOPE(INDIRECT($D$9):G991,INDIRECT($C$9):F991)</f>
        <v>-2.4203448749851402E-7</v>
      </c>
      <c r="D12" s="5"/>
      <c r="E12" s="12"/>
    </row>
    <row r="13" spans="1:6" x14ac:dyDescent="0.2">
      <c r="A13" s="12" t="s">
        <v>24</v>
      </c>
      <c r="B13" s="12"/>
      <c r="C13" s="5" t="s">
        <v>19</v>
      </c>
      <c r="D13" s="20"/>
      <c r="E13" s="17"/>
    </row>
    <row r="14" spans="1:6" x14ac:dyDescent="0.2">
      <c r="A14" s="12"/>
      <c r="B14" s="12"/>
      <c r="C14" s="12"/>
      <c r="D14" s="20"/>
      <c r="E14" s="21"/>
    </row>
    <row r="15" spans="1:6" x14ac:dyDescent="0.2">
      <c r="A15" s="18" t="s">
        <v>23</v>
      </c>
      <c r="B15" s="12"/>
      <c r="C15" s="19">
        <f ca="1">(C7+C11)+(C8+C12)*INT(MAX(F21:F3532))</f>
        <v>59367.349939726111</v>
      </c>
      <c r="D15" s="20"/>
      <c r="E15" s="20" t="s">
        <v>53</v>
      </c>
      <c r="F15" s="17">
        <v>1</v>
      </c>
    </row>
    <row r="16" spans="1:6" x14ac:dyDescent="0.2">
      <c r="A16" s="22" t="s">
        <v>9</v>
      </c>
      <c r="B16" s="12"/>
      <c r="C16" s="23">
        <f ca="1">+C8+C12</f>
        <v>0.35683375796551248</v>
      </c>
      <c r="D16" s="20"/>
      <c r="E16" s="20" t="s">
        <v>43</v>
      </c>
      <c r="F16" s="21">
        <f ca="1">NOW()+15018.5+$C$5/24</f>
        <v>59961.426652893519</v>
      </c>
    </row>
    <row r="17" spans="1:31" ht="13.5" thickBot="1" x14ac:dyDescent="0.25">
      <c r="A17" s="20" t="s">
        <v>39</v>
      </c>
      <c r="B17" s="12"/>
      <c r="C17" s="12">
        <f>COUNT(C21:C2190)</f>
        <v>31</v>
      </c>
      <c r="D17" s="20"/>
      <c r="E17" s="20" t="s">
        <v>54</v>
      </c>
      <c r="F17" s="21">
        <f ca="1">ROUND(2*(F16-$C$7)/$C$8,0)/2+F15</f>
        <v>51566</v>
      </c>
    </row>
    <row r="18" spans="1:31" ht="14.25" thickTop="1" thickBot="1" x14ac:dyDescent="0.25">
      <c r="A18" s="22" t="s">
        <v>10</v>
      </c>
      <c r="B18" s="12"/>
      <c r="C18" s="25">
        <f ca="1">+C15</f>
        <v>59367.349939726111</v>
      </c>
      <c r="D18" s="26">
        <f ca="1">+C16</f>
        <v>0.35683375796551248</v>
      </c>
      <c r="E18" s="20" t="s">
        <v>44</v>
      </c>
      <c r="F18" s="11">
        <f ca="1">ROUND(2*(F16-$C$15)/$C$16,0)/2+F15</f>
        <v>1666</v>
      </c>
    </row>
    <row r="19" spans="1:31" ht="13.5" thickTop="1" x14ac:dyDescent="0.2">
      <c r="E19" s="20" t="s">
        <v>45</v>
      </c>
      <c r="F19" s="24">
        <f ca="1">+$C$15+$C$16*F18-15018.5-$C$5/24</f>
        <v>44943.001647163321</v>
      </c>
    </row>
    <row r="20" spans="1:3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51</v>
      </c>
      <c r="M20" s="9" t="s">
        <v>30</v>
      </c>
      <c r="N20" s="9" t="s">
        <v>31</v>
      </c>
      <c r="O20" s="9" t="s">
        <v>28</v>
      </c>
      <c r="P20" s="8" t="s">
        <v>27</v>
      </c>
      <c r="Q20" s="6" t="s">
        <v>20</v>
      </c>
      <c r="U20" s="67" t="s">
        <v>56</v>
      </c>
    </row>
    <row r="21" spans="1:31" x14ac:dyDescent="0.2">
      <c r="A21" t="s">
        <v>17</v>
      </c>
      <c r="C21" s="15">
        <v>41561.334999999999</v>
      </c>
      <c r="D21" s="15" t="s">
        <v>19</v>
      </c>
      <c r="E21">
        <f t="shared" ref="E21:E48" si="0">+(C21-C$7)/C$8</f>
        <v>0</v>
      </c>
      <c r="F21" s="70">
        <f>ROUND(2*E21,0)/2+2</f>
        <v>2</v>
      </c>
      <c r="G21">
        <f t="shared" ref="G21:G48" si="1">+C21-(C$7+F21*C$8)</f>
        <v>-0.71366799999668729</v>
      </c>
      <c r="H21" s="11">
        <f>G21</f>
        <v>-0.71366799999668729</v>
      </c>
      <c r="O21">
        <f t="shared" ref="O21:O48" ca="1" si="2">+C$11+C$12*F21</f>
        <v>1.0416762967301556E-2</v>
      </c>
      <c r="Q21" s="2">
        <f t="shared" ref="Q21:Q48" si="3">+C21-15018.5</f>
        <v>26542.834999999999</v>
      </c>
    </row>
    <row r="22" spans="1:31" x14ac:dyDescent="0.2">
      <c r="A22" t="s">
        <v>35</v>
      </c>
      <c r="B22" s="10"/>
      <c r="C22" s="15">
        <v>50899.504500000003</v>
      </c>
      <c r="D22" s="15">
        <v>2.8E-3</v>
      </c>
      <c r="E22">
        <f t="shared" si="0"/>
        <v>26169.505988779107</v>
      </c>
      <c r="F22" s="69">
        <f>ROUND(2*E22,0)/2+0.5</f>
        <v>26170</v>
      </c>
      <c r="G22">
        <f t="shared" si="1"/>
        <v>-0.17627999999240274</v>
      </c>
      <c r="K22">
        <f>+G22</f>
        <v>-0.17627999999240274</v>
      </c>
      <c r="O22">
        <f t="shared" ca="1" si="2"/>
        <v>4.0832044984404426E-3</v>
      </c>
      <c r="Q22" s="2">
        <f t="shared" si="3"/>
        <v>35881.004500000003</v>
      </c>
    </row>
    <row r="23" spans="1:31" x14ac:dyDescent="0.2">
      <c r="A23" s="31" t="s">
        <v>33</v>
      </c>
      <c r="B23" s="31"/>
      <c r="C23" s="32">
        <v>51040.420700000002</v>
      </c>
      <c r="D23" s="32">
        <v>1.4E-3</v>
      </c>
      <c r="E23" s="31">
        <f t="shared" si="0"/>
        <v>26564.412864245009</v>
      </c>
      <c r="F23" s="69">
        <f>ROUND(2*E23,0)/2+0.5</f>
        <v>26565</v>
      </c>
      <c r="G23">
        <f t="shared" si="1"/>
        <v>-0.20951000000059139</v>
      </c>
      <c r="J23">
        <f>+G23</f>
        <v>-0.20951000000059139</v>
      </c>
      <c r="O23">
        <f t="shared" ca="1" si="2"/>
        <v>3.9876008758785294E-3</v>
      </c>
      <c r="Q23" s="2">
        <f t="shared" si="3"/>
        <v>36021.920700000002</v>
      </c>
      <c r="AA23">
        <v>14</v>
      </c>
      <c r="AC23" t="s">
        <v>32</v>
      </c>
      <c r="AE23" t="s">
        <v>34</v>
      </c>
    </row>
    <row r="24" spans="1:31" x14ac:dyDescent="0.2">
      <c r="A24" s="31" t="s">
        <v>35</v>
      </c>
      <c r="B24" s="33"/>
      <c r="C24" s="32">
        <v>51120.281499999997</v>
      </c>
      <c r="D24" s="32">
        <v>2.3999999999999998E-3</v>
      </c>
      <c r="E24" s="31">
        <f t="shared" si="0"/>
        <v>26788.216649758706</v>
      </c>
      <c r="F24" s="69">
        <f>ROUND(2*E24,0)/2+0.5</f>
        <v>26788.5</v>
      </c>
      <c r="G24">
        <f t="shared" si="1"/>
        <v>-0.10110900000290712</v>
      </c>
      <c r="J24">
        <f>+G24</f>
        <v>-0.10110900000290712</v>
      </c>
      <c r="O24">
        <f t="shared" ca="1" si="2"/>
        <v>3.9335061679226114E-3</v>
      </c>
      <c r="Q24" s="2">
        <f t="shared" si="3"/>
        <v>36101.781499999997</v>
      </c>
    </row>
    <row r="25" spans="1:31" x14ac:dyDescent="0.2">
      <c r="A25" s="34" t="s">
        <v>49</v>
      </c>
      <c r="B25" s="35" t="s">
        <v>37</v>
      </c>
      <c r="C25" s="34">
        <v>52061.431640000003</v>
      </c>
      <c r="D25" s="34">
        <v>3.5999999999999999E-3</v>
      </c>
      <c r="E25" s="31">
        <f t="shared" si="0"/>
        <v>29425.717952885665</v>
      </c>
      <c r="F25">
        <f t="shared" ref="F25:F48" si="4">ROUND(2*E25,0)/2</f>
        <v>29425.5</v>
      </c>
      <c r="G25">
        <f t="shared" si="1"/>
        <v>7.7773000004526693E-2</v>
      </c>
      <c r="K25">
        <f>+G25</f>
        <v>7.7773000004526693E-2</v>
      </c>
      <c r="O25">
        <f t="shared" ca="1" si="2"/>
        <v>3.2952612243890298E-3</v>
      </c>
      <c r="Q25" s="2">
        <f t="shared" si="3"/>
        <v>37042.931640000003</v>
      </c>
    </row>
    <row r="26" spans="1:31" x14ac:dyDescent="0.2">
      <c r="A26" s="62" t="s">
        <v>100</v>
      </c>
      <c r="B26" s="61" t="s">
        <v>194</v>
      </c>
      <c r="C26" s="62">
        <v>52483.463000000003</v>
      </c>
      <c r="D26" s="62" t="s">
        <v>73</v>
      </c>
      <c r="E26" s="31">
        <f t="shared" si="0"/>
        <v>30608.428569026506</v>
      </c>
      <c r="F26">
        <f t="shared" si="4"/>
        <v>30608.5</v>
      </c>
      <c r="G26">
        <f t="shared" si="1"/>
        <v>-2.5488999992376193E-2</v>
      </c>
      <c r="I26">
        <f>+G26</f>
        <v>-2.5488999992376193E-2</v>
      </c>
      <c r="O26">
        <f t="shared" ca="1" si="2"/>
        <v>3.0089344256782873E-3</v>
      </c>
      <c r="Q26" s="2">
        <f t="shared" si="3"/>
        <v>37464.963000000003</v>
      </c>
    </row>
    <row r="27" spans="1:31" x14ac:dyDescent="0.2">
      <c r="A27" s="32" t="s">
        <v>36</v>
      </c>
      <c r="B27" s="36" t="s">
        <v>37</v>
      </c>
      <c r="C27" s="37">
        <v>53174.841</v>
      </c>
      <c r="D27" s="38">
        <v>5.0000000000000001E-3</v>
      </c>
      <c r="E27" s="31">
        <f t="shared" si="0"/>
        <v>32545.96254841187</v>
      </c>
      <c r="F27">
        <f t="shared" si="4"/>
        <v>32546</v>
      </c>
      <c r="G27">
        <f t="shared" si="1"/>
        <v>-1.3363999998546205E-2</v>
      </c>
      <c r="K27">
        <f>+G27</f>
        <v>-1.3363999998546205E-2</v>
      </c>
      <c r="O27">
        <f t="shared" ca="1" si="2"/>
        <v>2.5399926061499163E-3</v>
      </c>
      <c r="Q27" s="2">
        <f t="shared" si="3"/>
        <v>38156.341</v>
      </c>
    </row>
    <row r="28" spans="1:31" x14ac:dyDescent="0.2">
      <c r="A28" s="39" t="s">
        <v>46</v>
      </c>
      <c r="B28" s="31"/>
      <c r="C28" s="32">
        <v>53815.94</v>
      </c>
      <c r="D28" s="32">
        <v>1E-3</v>
      </c>
      <c r="E28" s="31">
        <f t="shared" si="0"/>
        <v>34342.593474837049</v>
      </c>
      <c r="F28">
        <f t="shared" si="4"/>
        <v>34342.5</v>
      </c>
      <c r="G28">
        <f t="shared" si="1"/>
        <v>3.3355000006849878E-2</v>
      </c>
      <c r="K28" s="31">
        <f>G28</f>
        <v>3.3355000006849878E-2</v>
      </c>
      <c r="O28">
        <f t="shared" ca="1" si="2"/>
        <v>2.1051776493588355E-3</v>
      </c>
      <c r="Q28" s="2">
        <f t="shared" si="3"/>
        <v>38797.440000000002</v>
      </c>
    </row>
    <row r="29" spans="1:31" x14ac:dyDescent="0.2">
      <c r="A29" s="40" t="s">
        <v>40</v>
      </c>
      <c r="B29" s="33"/>
      <c r="C29" s="32">
        <v>53849.4764</v>
      </c>
      <c r="D29" s="32">
        <v>6.0000000000000001E-3</v>
      </c>
      <c r="E29" s="31">
        <f t="shared" si="0"/>
        <v>34436.576671505522</v>
      </c>
      <c r="F29">
        <f t="shared" si="4"/>
        <v>34436.5</v>
      </c>
      <c r="G29">
        <f t="shared" si="1"/>
        <v>2.7358999999705702E-2</v>
      </c>
      <c r="J29">
        <f>+G29</f>
        <v>2.7358999999705702E-2</v>
      </c>
      <c r="O29">
        <f t="shared" ca="1" si="2"/>
        <v>2.0824264075339754E-3</v>
      </c>
      <c r="Q29" s="2">
        <f t="shared" si="3"/>
        <v>38830.9764</v>
      </c>
    </row>
    <row r="30" spans="1:31" x14ac:dyDescent="0.2">
      <c r="A30" s="40" t="s">
        <v>48</v>
      </c>
      <c r="B30" s="41" t="s">
        <v>37</v>
      </c>
      <c r="C30" s="32">
        <v>54297.536</v>
      </c>
      <c r="D30" s="42"/>
      <c r="E30" s="31">
        <f t="shared" si="0"/>
        <v>35692.229440019735</v>
      </c>
      <c r="F30">
        <f t="shared" si="4"/>
        <v>35692</v>
      </c>
      <c r="G30">
        <f t="shared" si="1"/>
        <v>8.1872000002476852E-2</v>
      </c>
      <c r="J30">
        <f>+G30</f>
        <v>8.1872000002476852E-2</v>
      </c>
      <c r="O30">
        <f t="shared" ca="1" si="2"/>
        <v>1.7785521084795908E-3</v>
      </c>
      <c r="Q30" s="2">
        <f t="shared" si="3"/>
        <v>39279.036</v>
      </c>
    </row>
    <row r="31" spans="1:31" x14ac:dyDescent="0.2">
      <c r="A31" s="32" t="s">
        <v>50</v>
      </c>
      <c r="B31" s="41" t="s">
        <v>37</v>
      </c>
      <c r="C31" s="32">
        <v>54584.354659999997</v>
      </c>
      <c r="D31" s="32">
        <v>5.0000000000000001E-3</v>
      </c>
      <c r="E31" s="31">
        <f t="shared" si="0"/>
        <v>36496.01680333152</v>
      </c>
      <c r="F31">
        <f t="shared" si="4"/>
        <v>36496</v>
      </c>
      <c r="G31">
        <f t="shared" si="1"/>
        <v>5.9959999998682179E-3</v>
      </c>
      <c r="K31">
        <f>+G31</f>
        <v>5.9959999998682179E-3</v>
      </c>
      <c r="O31">
        <f t="shared" ca="1" si="2"/>
        <v>1.5839563805307866E-3</v>
      </c>
      <c r="Q31" s="2">
        <f t="shared" si="3"/>
        <v>39565.854659999997</v>
      </c>
    </row>
    <row r="32" spans="1:31" x14ac:dyDescent="0.2">
      <c r="A32" s="58" t="s">
        <v>62</v>
      </c>
      <c r="B32" s="59" t="s">
        <v>37</v>
      </c>
      <c r="C32" s="60">
        <v>54778.078000000001</v>
      </c>
      <c r="D32" s="60">
        <v>0.01</v>
      </c>
      <c r="E32" s="31">
        <f t="shared" si="0"/>
        <v>37038.911650795613</v>
      </c>
      <c r="F32">
        <f t="shared" si="4"/>
        <v>37039</v>
      </c>
      <c r="G32">
        <f t="shared" si="1"/>
        <v>-3.152599999884842E-2</v>
      </c>
      <c r="I32">
        <f>+G32</f>
        <v>-3.152599999884842E-2</v>
      </c>
      <c r="O32">
        <f t="shared" ca="1" si="2"/>
        <v>1.4525316538190926E-3</v>
      </c>
      <c r="Q32" s="2">
        <f t="shared" si="3"/>
        <v>39759.578000000001</v>
      </c>
    </row>
    <row r="33" spans="1:17" x14ac:dyDescent="0.2">
      <c r="A33" s="34" t="s">
        <v>52</v>
      </c>
      <c r="B33" s="35" t="s">
        <v>37</v>
      </c>
      <c r="C33" s="34">
        <v>55321.714</v>
      </c>
      <c r="D33" s="34">
        <v>2E-3</v>
      </c>
      <c r="E33" s="31">
        <f t="shared" si="0"/>
        <v>38562.409972143912</v>
      </c>
      <c r="F33">
        <f t="shared" si="4"/>
        <v>38562.5</v>
      </c>
      <c r="G33">
        <f t="shared" si="1"/>
        <v>-3.2124999997904524E-2</v>
      </c>
      <c r="K33">
        <f>G33</f>
        <v>-3.2124999997904524E-2</v>
      </c>
      <c r="O33">
        <f t="shared" ca="1" si="2"/>
        <v>1.0837921121151072E-3</v>
      </c>
      <c r="Q33" s="2">
        <f t="shared" si="3"/>
        <v>40303.214</v>
      </c>
    </row>
    <row r="34" spans="1:17" x14ac:dyDescent="0.2">
      <c r="A34" s="34" t="s">
        <v>52</v>
      </c>
      <c r="B34" s="35" t="s">
        <v>37</v>
      </c>
      <c r="C34" s="34">
        <v>55321.714</v>
      </c>
      <c r="D34" s="34">
        <v>2E-3</v>
      </c>
      <c r="E34" s="31">
        <f t="shared" si="0"/>
        <v>38562.409972143912</v>
      </c>
      <c r="F34">
        <f t="shared" si="4"/>
        <v>38562.5</v>
      </c>
      <c r="G34">
        <f t="shared" si="1"/>
        <v>-3.2124999997904524E-2</v>
      </c>
      <c r="K34">
        <f>G34</f>
        <v>-3.2124999997904524E-2</v>
      </c>
      <c r="O34">
        <f t="shared" ca="1" si="2"/>
        <v>1.0837921121151072E-3</v>
      </c>
      <c r="Q34" s="2">
        <f t="shared" si="3"/>
        <v>40303.214</v>
      </c>
    </row>
    <row r="35" spans="1:17" x14ac:dyDescent="0.2">
      <c r="A35" s="34" t="s">
        <v>55</v>
      </c>
      <c r="B35" s="35" t="s">
        <v>37</v>
      </c>
      <c r="C35" s="34">
        <v>55685.598299999998</v>
      </c>
      <c r="D35" s="34">
        <v>4.1999999999999997E-3</v>
      </c>
      <c r="E35" s="31">
        <f t="shared" si="0"/>
        <v>39582.167898798878</v>
      </c>
      <c r="F35">
        <f t="shared" si="4"/>
        <v>39582</v>
      </c>
      <c r="G35">
        <f t="shared" si="1"/>
        <v>5.9911999996984378E-2</v>
      </c>
      <c r="J35">
        <f t="shared" ref="J35:J45" si="5">+G35</f>
        <v>5.9911999996984378E-2</v>
      </c>
      <c r="O35">
        <f t="shared" ca="1" si="2"/>
        <v>8.3703795211037199E-4</v>
      </c>
      <c r="Q35" s="2">
        <f t="shared" si="3"/>
        <v>40667.098299999998</v>
      </c>
    </row>
    <row r="36" spans="1:17" x14ac:dyDescent="0.2">
      <c r="A36" s="40" t="s">
        <v>57</v>
      </c>
      <c r="B36" s="41" t="s">
        <v>37</v>
      </c>
      <c r="C36" s="32">
        <v>56055.511700000003</v>
      </c>
      <c r="D36" s="32">
        <v>6.8999999999999999E-3</v>
      </c>
      <c r="E36" s="31">
        <f t="shared" si="0"/>
        <v>40618.821917194</v>
      </c>
      <c r="F36">
        <f t="shared" si="4"/>
        <v>40619</v>
      </c>
      <c r="G36">
        <f t="shared" si="1"/>
        <v>-6.3545999997586478E-2</v>
      </c>
      <c r="J36">
        <f t="shared" si="5"/>
        <v>-6.3545999997586478E-2</v>
      </c>
      <c r="O36">
        <f t="shared" ca="1" si="2"/>
        <v>5.860481885744135E-4</v>
      </c>
      <c r="Q36" s="2">
        <f t="shared" si="3"/>
        <v>41037.011700000003</v>
      </c>
    </row>
    <row r="37" spans="1:17" x14ac:dyDescent="0.2">
      <c r="A37" s="33" t="s">
        <v>60</v>
      </c>
      <c r="B37" s="36" t="s">
        <v>37</v>
      </c>
      <c r="C37" s="32">
        <v>56390.466800000002</v>
      </c>
      <c r="D37" s="37">
        <v>2.8E-3</v>
      </c>
      <c r="E37" s="31">
        <f t="shared" si="0"/>
        <v>41557.507972894971</v>
      </c>
      <c r="F37">
        <f t="shared" si="4"/>
        <v>41557.5</v>
      </c>
      <c r="G37">
        <f t="shared" si="1"/>
        <v>2.8450000027078204E-3</v>
      </c>
      <c r="J37">
        <f t="shared" si="5"/>
        <v>2.8450000027078204E-3</v>
      </c>
      <c r="O37">
        <f t="shared" ca="1" si="2"/>
        <v>3.588988220570577E-4</v>
      </c>
      <c r="Q37" s="2">
        <f t="shared" si="3"/>
        <v>41371.966800000002</v>
      </c>
    </row>
    <row r="38" spans="1:17" x14ac:dyDescent="0.2">
      <c r="A38" s="32" t="s">
        <v>58</v>
      </c>
      <c r="B38" s="41" t="s">
        <v>37</v>
      </c>
      <c r="C38" s="32">
        <v>56450.420400000003</v>
      </c>
      <c r="D38" s="32">
        <v>8.9999999999999993E-3</v>
      </c>
      <c r="E38" s="31">
        <f t="shared" si="0"/>
        <v>41725.523352595337</v>
      </c>
      <c r="F38">
        <f t="shared" si="4"/>
        <v>41725.5</v>
      </c>
      <c r="G38">
        <f t="shared" si="1"/>
        <v>8.333000005222857E-3</v>
      </c>
      <c r="J38">
        <f t="shared" si="5"/>
        <v>8.333000005222857E-3</v>
      </c>
      <c r="O38">
        <f t="shared" ca="1" si="2"/>
        <v>3.1823702815730708E-4</v>
      </c>
      <c r="Q38" s="2">
        <f t="shared" si="3"/>
        <v>41431.920400000003</v>
      </c>
    </row>
    <row r="39" spans="1:17" x14ac:dyDescent="0.2">
      <c r="A39" s="32" t="s">
        <v>58</v>
      </c>
      <c r="B39" s="41" t="s">
        <v>37</v>
      </c>
      <c r="C39" s="32">
        <v>56451.490599999997</v>
      </c>
      <c r="D39" s="32">
        <v>5.0000000000000001E-3</v>
      </c>
      <c r="E39" s="31">
        <f t="shared" si="0"/>
        <v>41728.522506263413</v>
      </c>
      <c r="F39">
        <f t="shared" si="4"/>
        <v>41728.5</v>
      </c>
      <c r="G39">
        <f t="shared" si="1"/>
        <v>8.0309999975725077E-3</v>
      </c>
      <c r="J39">
        <f t="shared" si="5"/>
        <v>8.0309999975725077E-3</v>
      </c>
      <c r="O39">
        <f t="shared" ca="1" si="2"/>
        <v>3.1751092469481206E-4</v>
      </c>
      <c r="Q39" s="2">
        <f t="shared" si="3"/>
        <v>41432.990599999997</v>
      </c>
    </row>
    <row r="40" spans="1:17" x14ac:dyDescent="0.2">
      <c r="A40" s="33" t="s">
        <v>60</v>
      </c>
      <c r="B40" s="36" t="s">
        <v>37</v>
      </c>
      <c r="C40" s="32">
        <v>56492.518700000001</v>
      </c>
      <c r="D40" s="37">
        <v>2.2000000000000001E-3</v>
      </c>
      <c r="E40" s="31">
        <f t="shared" si="0"/>
        <v>41843.500619335609</v>
      </c>
      <c r="F40">
        <f t="shared" si="4"/>
        <v>41843.5</v>
      </c>
      <c r="G40">
        <f t="shared" si="1"/>
        <v>2.2100000205682591E-4</v>
      </c>
      <c r="J40">
        <f t="shared" si="5"/>
        <v>2.2100000205682591E-4</v>
      </c>
      <c r="O40">
        <f t="shared" ca="1" si="2"/>
        <v>2.8967695863248329E-4</v>
      </c>
      <c r="Q40" s="2">
        <f t="shared" si="3"/>
        <v>41474.018700000001</v>
      </c>
    </row>
    <row r="41" spans="1:17" x14ac:dyDescent="0.2">
      <c r="A41" s="33" t="s">
        <v>60</v>
      </c>
      <c r="B41" s="36" t="s">
        <v>37</v>
      </c>
      <c r="C41" s="32">
        <v>56496.422700000003</v>
      </c>
      <c r="D41" s="37">
        <v>2.7000000000000001E-3</v>
      </c>
      <c r="E41" s="31">
        <f t="shared" si="0"/>
        <v>41854.441280819665</v>
      </c>
      <c r="F41">
        <f t="shared" si="4"/>
        <v>41854.5</v>
      </c>
      <c r="G41">
        <f t="shared" si="1"/>
        <v>-2.0952999992005061E-2</v>
      </c>
      <c r="J41">
        <f t="shared" si="5"/>
        <v>-2.0952999992005061E-2</v>
      </c>
      <c r="O41">
        <f t="shared" ca="1" si="2"/>
        <v>2.8701457926999865E-4</v>
      </c>
      <c r="Q41" s="2">
        <f t="shared" si="3"/>
        <v>41477.922700000003</v>
      </c>
    </row>
    <row r="42" spans="1:17" x14ac:dyDescent="0.2">
      <c r="A42" s="33" t="s">
        <v>60</v>
      </c>
      <c r="B42" s="36" t="s">
        <v>37</v>
      </c>
      <c r="C42" s="32">
        <v>56506.438499999997</v>
      </c>
      <c r="D42" s="37">
        <v>2.5000000000000001E-3</v>
      </c>
      <c r="E42" s="31">
        <f t="shared" si="0"/>
        <v>41882.50979447025</v>
      </c>
      <c r="F42">
        <f t="shared" si="4"/>
        <v>41882.5</v>
      </c>
      <c r="G42">
        <f t="shared" si="1"/>
        <v>3.4949999972013757E-3</v>
      </c>
      <c r="J42">
        <f t="shared" si="5"/>
        <v>3.4949999972013757E-3</v>
      </c>
      <c r="O42">
        <f t="shared" ca="1" si="2"/>
        <v>2.8023761362004108E-4</v>
      </c>
      <c r="Q42" s="2">
        <f t="shared" si="3"/>
        <v>41487.938499999997</v>
      </c>
    </row>
    <row r="43" spans="1:17" x14ac:dyDescent="0.2">
      <c r="A43" s="37" t="s">
        <v>61</v>
      </c>
      <c r="B43" s="41"/>
      <c r="C43" s="37">
        <v>56827.453600000001</v>
      </c>
      <c r="D43" s="37">
        <v>2.0000000000000001E-4</v>
      </c>
      <c r="E43" s="31">
        <f t="shared" si="0"/>
        <v>42782.130066081154</v>
      </c>
      <c r="F43">
        <f t="shared" si="4"/>
        <v>42782</v>
      </c>
      <c r="G43">
        <f t="shared" si="1"/>
        <v>4.6412000003329013E-2</v>
      </c>
      <c r="J43">
        <f t="shared" si="5"/>
        <v>4.6412000003329013E-2</v>
      </c>
      <c r="O43">
        <f t="shared" ca="1" si="2"/>
        <v>6.2527592115127484E-5</v>
      </c>
      <c r="Q43" s="2">
        <f t="shared" si="3"/>
        <v>41808.953600000001</v>
      </c>
    </row>
    <row r="44" spans="1:17" x14ac:dyDescent="0.2">
      <c r="A44" s="56" t="s">
        <v>74</v>
      </c>
      <c r="B44" s="57"/>
      <c r="C44" s="56">
        <v>57133.5262</v>
      </c>
      <c r="D44" s="56">
        <v>4.0000000000000002E-4</v>
      </c>
      <c r="E44" s="31">
        <f t="shared" si="0"/>
        <v>43639.875124007245</v>
      </c>
      <c r="F44">
        <f t="shared" si="4"/>
        <v>43640</v>
      </c>
      <c r="G44">
        <f t="shared" si="1"/>
        <v>-4.4560000002093147E-2</v>
      </c>
      <c r="J44">
        <f t="shared" si="5"/>
        <v>-4.4560000002093147E-2</v>
      </c>
      <c r="O44">
        <f t="shared" ca="1" si="2"/>
        <v>-1.4513799815859749E-4</v>
      </c>
      <c r="Q44" s="2">
        <f t="shared" si="3"/>
        <v>42115.0262</v>
      </c>
    </row>
    <row r="45" spans="1:17" x14ac:dyDescent="0.2">
      <c r="A45" s="56" t="s">
        <v>74</v>
      </c>
      <c r="B45" s="57"/>
      <c r="C45" s="56">
        <v>57158.536800000002</v>
      </c>
      <c r="D45" s="56">
        <v>1E-4</v>
      </c>
      <c r="E45" s="31">
        <f t="shared" si="0"/>
        <v>43709.965418093576</v>
      </c>
      <c r="F45">
        <f t="shared" si="4"/>
        <v>43710</v>
      </c>
      <c r="G45">
        <f t="shared" si="1"/>
        <v>-1.2340000001131557E-2</v>
      </c>
      <c r="J45">
        <f t="shared" si="5"/>
        <v>-1.2340000001131557E-2</v>
      </c>
      <c r="O45">
        <f t="shared" ca="1" si="2"/>
        <v>-1.6208041228349401E-4</v>
      </c>
      <c r="Q45" s="2">
        <f t="shared" si="3"/>
        <v>42140.036800000002</v>
      </c>
    </row>
    <row r="46" spans="1:17" x14ac:dyDescent="0.2">
      <c r="A46" s="63" t="s">
        <v>1</v>
      </c>
      <c r="B46" s="64" t="s">
        <v>37</v>
      </c>
      <c r="C46" s="65">
        <v>57513.436000000002</v>
      </c>
      <c r="D46" s="65">
        <v>2.9999999999999997E-4</v>
      </c>
      <c r="E46" s="31">
        <f t="shared" si="0"/>
        <v>44704.543289036366</v>
      </c>
      <c r="F46">
        <f t="shared" si="4"/>
        <v>44704.5</v>
      </c>
      <c r="G46">
        <f t="shared" si="1"/>
        <v>1.5447000005224254E-2</v>
      </c>
      <c r="K46">
        <f>G46</f>
        <v>1.5447000005224254E-2</v>
      </c>
      <c r="O46">
        <f t="shared" ca="1" si="2"/>
        <v>-4.0278371010076669E-4</v>
      </c>
      <c r="Q46" s="2">
        <f t="shared" si="3"/>
        <v>42494.936000000002</v>
      </c>
    </row>
    <row r="47" spans="1:17" x14ac:dyDescent="0.2">
      <c r="A47" s="63" t="s">
        <v>1</v>
      </c>
      <c r="B47" s="64" t="s">
        <v>37</v>
      </c>
      <c r="C47" s="65">
        <v>57515.5916</v>
      </c>
      <c r="D47" s="65">
        <v>5.0000000000000001E-4</v>
      </c>
      <c r="E47" s="31">
        <f t="shared" si="0"/>
        <v>44710.584193210292</v>
      </c>
      <c r="F47">
        <f t="shared" si="4"/>
        <v>44710.5</v>
      </c>
      <c r="G47">
        <f t="shared" si="1"/>
        <v>3.0042999998840969E-2</v>
      </c>
      <c r="K47">
        <f>G47</f>
        <v>3.0042999998840969E-2</v>
      </c>
      <c r="O47">
        <f t="shared" ca="1" si="2"/>
        <v>-4.0423591702575673E-4</v>
      </c>
      <c r="Q47" s="2">
        <f t="shared" si="3"/>
        <v>42497.0916</v>
      </c>
    </row>
    <row r="48" spans="1:17" x14ac:dyDescent="0.2">
      <c r="A48" s="63" t="s">
        <v>1</v>
      </c>
      <c r="B48" s="64" t="s">
        <v>37</v>
      </c>
      <c r="C48" s="65">
        <v>57528.448100000001</v>
      </c>
      <c r="D48" s="65">
        <v>5.0000000000000001E-4</v>
      </c>
      <c r="E48" s="31">
        <f t="shared" si="0"/>
        <v>44746.613551399256</v>
      </c>
      <c r="F48">
        <f t="shared" si="4"/>
        <v>44746.5</v>
      </c>
      <c r="G48">
        <f t="shared" si="1"/>
        <v>4.0519000001950189E-2</v>
      </c>
      <c r="K48">
        <f>G48</f>
        <v>4.0519000001950189E-2</v>
      </c>
      <c r="O48">
        <f t="shared" ca="1" si="2"/>
        <v>-4.1294915857570391E-4</v>
      </c>
      <c r="Q48" s="2">
        <f t="shared" si="3"/>
        <v>42509.948100000001</v>
      </c>
    </row>
    <row r="49" spans="1:17" x14ac:dyDescent="0.2">
      <c r="A49" s="77" t="s">
        <v>0</v>
      </c>
      <c r="B49" s="78" t="s">
        <v>37</v>
      </c>
      <c r="C49" s="78">
        <v>57899.451399999998</v>
      </c>
      <c r="D49" s="78">
        <v>4.0000000000000002E-4</v>
      </c>
      <c r="E49" s="31">
        <f>+(C49-C$7)/C$8</f>
        <v>45786.321931206105</v>
      </c>
      <c r="F49">
        <f>ROUND(2*E49,0)/2</f>
        <v>45786.5</v>
      </c>
      <c r="G49">
        <f>+C49-(C$7+F49*C$8)</f>
        <v>-6.3541000003169756E-2</v>
      </c>
      <c r="K49">
        <f>G49</f>
        <v>-6.3541000003169756E-2</v>
      </c>
      <c r="O49">
        <f ca="1">+C$11+C$12*F49</f>
        <v>-6.6466502557415742E-4</v>
      </c>
      <c r="Q49" s="2">
        <f>+C49-15018.5</f>
        <v>42880.951399999998</v>
      </c>
    </row>
    <row r="50" spans="1:17" x14ac:dyDescent="0.2">
      <c r="A50" s="77" t="s">
        <v>0</v>
      </c>
      <c r="B50" s="78" t="s">
        <v>37</v>
      </c>
      <c r="C50" s="78">
        <v>57919.433299999997</v>
      </c>
      <c r="D50" s="78">
        <v>6.9999999999999999E-4</v>
      </c>
      <c r="E50" s="31">
        <f>+(C50-C$7)/C$8</f>
        <v>45842.319678057582</v>
      </c>
      <c r="F50">
        <f>ROUND(2*E50,0)/2</f>
        <v>45842.5</v>
      </c>
      <c r="G50">
        <f>+C50-(C$7+F50*C$8)</f>
        <v>-6.4344999998866115E-2</v>
      </c>
      <c r="K50">
        <f>G50</f>
        <v>-6.4344999998866115E-2</v>
      </c>
      <c r="O50">
        <f ca="1">+C$11+C$12*F50</f>
        <v>-6.782189568740743E-4</v>
      </c>
      <c r="Q50" s="2">
        <f>+C50-15018.5</f>
        <v>42900.933299999997</v>
      </c>
    </row>
    <row r="51" spans="1:17" x14ac:dyDescent="0.2">
      <c r="A51" s="79" t="s">
        <v>196</v>
      </c>
      <c r="B51" s="80" t="s">
        <v>37</v>
      </c>
      <c r="C51" s="81">
        <v>59367.407200000001</v>
      </c>
      <c r="D51" s="79">
        <v>6.9999999999999999E-4</v>
      </c>
      <c r="E51" s="31">
        <f>+(C51-C$7)/C$8</f>
        <v>49900.155814748607</v>
      </c>
      <c r="F51">
        <f>ROUND(2*E51,0)/2</f>
        <v>49900</v>
      </c>
      <c r="G51">
        <f>+C51-(C$7+F51*C$8)</f>
        <v>5.5600000006961636E-2</v>
      </c>
      <c r="K51">
        <f>G51</f>
        <v>5.5600000006961636E-2</v>
      </c>
      <c r="O51">
        <f ca="1">+C$11+C$12*F51</f>
        <v>-1.6602738898992952E-3</v>
      </c>
      <c r="Q51" s="2">
        <f>+C51-15018.5</f>
        <v>44348.907200000001</v>
      </c>
    </row>
  </sheetData>
  <phoneticPr fontId="8" type="noConversion"/>
  <hyperlinks>
    <hyperlink ref="H191" r:id="rId1" display="http://vsolj.cetus-net.org/bulletin.html"/>
    <hyperlink ref="H184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1" sqref="D1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style="5" customWidth="1"/>
    <col min="19" max="20" width="10.28515625" style="5" customWidth="1"/>
    <col min="21" max="21" width="10.28515625" style="66" customWidth="1"/>
  </cols>
  <sheetData>
    <row r="1" spans="1:6" ht="20.25" x14ac:dyDescent="0.3">
      <c r="A1" s="82" t="s">
        <v>197</v>
      </c>
      <c r="E1">
        <v>0.210953</v>
      </c>
    </row>
    <row r="2" spans="1:6" x14ac:dyDescent="0.2">
      <c r="A2" t="s">
        <v>29</v>
      </c>
      <c r="B2" s="14" t="s">
        <v>38</v>
      </c>
    </row>
    <row r="3" spans="1:6" ht="13.5" thickBot="1" x14ac:dyDescent="0.25"/>
    <row r="4" spans="1:6" ht="14.25" thickTop="1" thickBot="1" x14ac:dyDescent="0.25">
      <c r="A4" s="7" t="s">
        <v>5</v>
      </c>
      <c r="C4" s="3">
        <v>41561.334999999999</v>
      </c>
      <c r="D4" s="4">
        <v>0.52551119999999996</v>
      </c>
    </row>
    <row r="5" spans="1:6" ht="13.5" thickTop="1" x14ac:dyDescent="0.2">
      <c r="A5" s="16" t="s">
        <v>41</v>
      </c>
      <c r="B5" s="12"/>
      <c r="C5" s="17">
        <v>-9.5</v>
      </c>
      <c r="D5" s="12" t="s">
        <v>42</v>
      </c>
    </row>
    <row r="6" spans="1:6" x14ac:dyDescent="0.2">
      <c r="A6" s="7" t="s">
        <v>6</v>
      </c>
      <c r="C6" s="11"/>
    </row>
    <row r="7" spans="1:6" x14ac:dyDescent="0.2">
      <c r="A7" t="s">
        <v>7</v>
      </c>
      <c r="C7">
        <f>+C4</f>
        <v>41561.334999999999</v>
      </c>
    </row>
    <row r="8" spans="1:6" x14ac:dyDescent="0.2">
      <c r="A8" t="s">
        <v>8</v>
      </c>
      <c r="C8" s="71">
        <v>0.52551119999999996</v>
      </c>
      <c r="D8" s="30" t="s">
        <v>195</v>
      </c>
      <c r="E8" s="13" t="s">
        <v>3</v>
      </c>
    </row>
    <row r="9" spans="1:6" x14ac:dyDescent="0.2">
      <c r="A9" s="29" t="s">
        <v>47</v>
      </c>
      <c r="B9" s="68">
        <v>36</v>
      </c>
      <c r="C9" s="28" t="str">
        <f>"F"&amp;B9</f>
        <v>F36</v>
      </c>
      <c r="D9" s="11" t="str">
        <f>"G"&amp;B9</f>
        <v>G36</v>
      </c>
    </row>
    <row r="10" spans="1:6" ht="13.5" thickBot="1" x14ac:dyDescent="0.25">
      <c r="A10" s="12"/>
      <c r="B10" s="12"/>
      <c r="C10" s="6" t="s">
        <v>25</v>
      </c>
      <c r="D10" s="6" t="s">
        <v>26</v>
      </c>
      <c r="E10" s="12"/>
    </row>
    <row r="11" spans="1:6" x14ac:dyDescent="0.2">
      <c r="A11" s="12" t="s">
        <v>21</v>
      </c>
      <c r="B11" s="12"/>
      <c r="C11" s="27">
        <f ca="1">INTERCEPT(INDIRECT($D$9):G991,INDIRECT($C$9):F991)</f>
        <v>0.78916335031910456</v>
      </c>
      <c r="D11" s="5"/>
      <c r="E11" s="12"/>
    </row>
    <row r="12" spans="1:6" x14ac:dyDescent="0.2">
      <c r="A12" s="12" t="s">
        <v>22</v>
      </c>
      <c r="B12" s="12"/>
      <c r="C12" s="27">
        <f ca="1">SLOPE(INDIRECT($D$9):G991,INDIRECT($C$9):F991)</f>
        <v>-2.6219012436170763E-5</v>
      </c>
      <c r="D12" s="5"/>
      <c r="E12" s="12"/>
    </row>
    <row r="13" spans="1:6" x14ac:dyDescent="0.2">
      <c r="A13" s="12" t="s">
        <v>24</v>
      </c>
      <c r="B13" s="12"/>
      <c r="C13" s="5" t="s">
        <v>19</v>
      </c>
      <c r="D13" s="20"/>
      <c r="E13" s="17"/>
    </row>
    <row r="14" spans="1:6" x14ac:dyDescent="0.2">
      <c r="A14" s="12"/>
      <c r="B14" s="12"/>
      <c r="C14" s="12"/>
      <c r="D14" s="20"/>
      <c r="E14" s="21"/>
    </row>
    <row r="15" spans="1:6" x14ac:dyDescent="0.2">
      <c r="A15" s="18" t="s">
        <v>23</v>
      </c>
      <c r="B15" s="12"/>
      <c r="C15" s="19">
        <f ca="1">(C7+C11)+(C8+C12)*INT(MAX(F21:F3532))</f>
        <v>59367.131774151945</v>
      </c>
      <c r="D15" s="20"/>
      <c r="E15" s="20" t="s">
        <v>53</v>
      </c>
      <c r="F15" s="17">
        <v>1</v>
      </c>
    </row>
    <row r="16" spans="1:6" x14ac:dyDescent="0.2">
      <c r="A16" s="22" t="s">
        <v>9</v>
      </c>
      <c r="B16" s="12"/>
      <c r="C16" s="23">
        <f ca="1">+C8+C12</f>
        <v>0.5254849809875638</v>
      </c>
      <c r="D16" s="20"/>
      <c r="E16" s="20" t="s">
        <v>43</v>
      </c>
      <c r="F16" s="21">
        <f ca="1">NOW()+15018.5+$C$5/24</f>
        <v>59960.697486226847</v>
      </c>
    </row>
    <row r="17" spans="1:31" ht="13.5" thickBot="1" x14ac:dyDescent="0.25">
      <c r="A17" s="20" t="s">
        <v>39</v>
      </c>
      <c r="B17" s="12"/>
      <c r="C17" s="12">
        <f>COUNT(C21:C2190)</f>
        <v>31</v>
      </c>
      <c r="D17" s="20"/>
      <c r="E17" s="20" t="s">
        <v>54</v>
      </c>
      <c r="F17" s="21">
        <f ca="1">ROUND(2*(F16-$C$7)/$C$8,0)/2+F15</f>
        <v>35013.5</v>
      </c>
    </row>
    <row r="18" spans="1:31" ht="14.25" thickTop="1" thickBot="1" x14ac:dyDescent="0.25">
      <c r="A18" s="22" t="s">
        <v>10</v>
      </c>
      <c r="B18" s="12"/>
      <c r="C18" s="25">
        <f ca="1">+C15</f>
        <v>59367.131774151945</v>
      </c>
      <c r="D18" s="26">
        <f ca="1">+C16</f>
        <v>0.5254849809875638</v>
      </c>
      <c r="E18" s="20" t="s">
        <v>44</v>
      </c>
      <c r="F18" s="11">
        <f ca="1">ROUND(2*(F16-$C$15)/$C$16,0)/2+F15</f>
        <v>1130.5</v>
      </c>
    </row>
    <row r="19" spans="1:31" ht="13.5" thickTop="1" x14ac:dyDescent="0.2">
      <c r="E19" s="20" t="s">
        <v>45</v>
      </c>
      <c r="F19" s="24">
        <f ca="1">+$C$15+$C$16*F18-15018.5-$C$5/24</f>
        <v>44943.088378491724</v>
      </c>
    </row>
    <row r="20" spans="1:3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51</v>
      </c>
      <c r="M20" s="9" t="s">
        <v>30</v>
      </c>
      <c r="N20" s="9" t="s">
        <v>31</v>
      </c>
      <c r="O20" s="9" t="s">
        <v>28</v>
      </c>
      <c r="P20" s="8" t="s">
        <v>27</v>
      </c>
      <c r="Q20" s="6" t="s">
        <v>20</v>
      </c>
      <c r="U20" s="67" t="s">
        <v>56</v>
      </c>
    </row>
    <row r="21" spans="1:31" x14ac:dyDescent="0.2">
      <c r="A21" t="s">
        <v>17</v>
      </c>
      <c r="C21" s="15">
        <v>41561.334999999999</v>
      </c>
      <c r="D21" s="15" t="s">
        <v>19</v>
      </c>
      <c r="E21">
        <f t="shared" ref="E21:E48" si="0">+(C21-C$7)/C$8</f>
        <v>0</v>
      </c>
      <c r="F21" s="70">
        <f>ROUND(2*E21,0)/2+2</f>
        <v>2</v>
      </c>
      <c r="G21">
        <f t="shared" ref="G21:G48" si="1">+C21-(C$7+F21*C$8)</f>
        <v>-1.0510224000026938</v>
      </c>
      <c r="H21" s="11">
        <f>G21</f>
        <v>-1.0510224000026938</v>
      </c>
      <c r="O21">
        <f t="shared" ref="O21:O48" ca="1" si="2">+C$11+C$12*F21</f>
        <v>0.78911091229423225</v>
      </c>
      <c r="Q21" s="2">
        <f t="shared" ref="Q21:Q48" si="3">+C21-15018.5</f>
        <v>26542.834999999999</v>
      </c>
    </row>
    <row r="22" spans="1:31" x14ac:dyDescent="0.2">
      <c r="A22" t="s">
        <v>35</v>
      </c>
      <c r="B22" s="10"/>
      <c r="C22" s="15">
        <v>50899.504500000003</v>
      </c>
      <c r="D22" s="15">
        <v>2.8E-3</v>
      </c>
      <c r="E22">
        <f t="shared" si="0"/>
        <v>17769.686925797214</v>
      </c>
      <c r="F22" s="69">
        <f>ROUND(2*E22,0)/2+0.5</f>
        <v>17770</v>
      </c>
      <c r="G22">
        <f t="shared" si="1"/>
        <v>-0.16452399999980116</v>
      </c>
      <c r="K22">
        <f>+G22</f>
        <v>-0.16452399999980116</v>
      </c>
      <c r="O22">
        <f t="shared" ca="1" si="2"/>
        <v>0.32325149932835012</v>
      </c>
      <c r="Q22" s="2">
        <f t="shared" si="3"/>
        <v>35881.004500000003</v>
      </c>
    </row>
    <row r="23" spans="1:31" x14ac:dyDescent="0.2">
      <c r="A23" s="31" t="s">
        <v>33</v>
      </c>
      <c r="B23" s="31"/>
      <c r="C23" s="32">
        <v>51040.420700000002</v>
      </c>
      <c r="D23" s="32">
        <v>1.4E-3</v>
      </c>
      <c r="E23" s="31">
        <f t="shared" si="0"/>
        <v>18037.837633146552</v>
      </c>
      <c r="F23" s="69">
        <f>ROUND(2*E23,0)/2+0.5</f>
        <v>18038.5</v>
      </c>
      <c r="G23">
        <f t="shared" si="1"/>
        <v>-0.34808119999797782</v>
      </c>
      <c r="J23">
        <f>+G23</f>
        <v>-0.34808119999797782</v>
      </c>
      <c r="O23">
        <f t="shared" ca="1" si="2"/>
        <v>0.31621169448923825</v>
      </c>
      <c r="Q23" s="2">
        <f t="shared" si="3"/>
        <v>36021.920700000002</v>
      </c>
      <c r="AA23">
        <v>14</v>
      </c>
      <c r="AC23" t="s">
        <v>32</v>
      </c>
      <c r="AE23" t="s">
        <v>34</v>
      </c>
    </row>
    <row r="24" spans="1:31" x14ac:dyDescent="0.2">
      <c r="A24" s="31" t="s">
        <v>35</v>
      </c>
      <c r="B24" s="33"/>
      <c r="C24" s="32">
        <v>51120.281499999997</v>
      </c>
      <c r="D24" s="32">
        <v>2.3999999999999998E-3</v>
      </c>
      <c r="E24" s="31">
        <f t="shared" si="0"/>
        <v>18189.805469417206</v>
      </c>
      <c r="F24" s="69">
        <f>ROUND(2*E24,0)/2+0.5</f>
        <v>18190.5</v>
      </c>
      <c r="G24">
        <f t="shared" si="1"/>
        <v>-0.36498359999677632</v>
      </c>
      <c r="J24">
        <f>+G24</f>
        <v>-0.36498359999677632</v>
      </c>
      <c r="O24">
        <f t="shared" ca="1" si="2"/>
        <v>0.3122264045989403</v>
      </c>
      <c r="Q24" s="2">
        <f t="shared" si="3"/>
        <v>36101.781499999997</v>
      </c>
    </row>
    <row r="25" spans="1:31" x14ac:dyDescent="0.2">
      <c r="A25" s="34" t="s">
        <v>49</v>
      </c>
      <c r="B25" s="35" t="s">
        <v>37</v>
      </c>
      <c r="C25" s="34">
        <v>52061.431640000003</v>
      </c>
      <c r="D25" s="34">
        <v>3.5999999999999999E-3</v>
      </c>
      <c r="E25" s="31">
        <f t="shared" si="0"/>
        <v>19980.728555357153</v>
      </c>
      <c r="F25">
        <f t="shared" ref="F25:F48" si="4">ROUND(2*E25,0)/2</f>
        <v>19980.5</v>
      </c>
      <c r="G25">
        <f t="shared" si="1"/>
        <v>0.12010840000584722</v>
      </c>
      <c r="K25">
        <f>+G25</f>
        <v>0.12010840000584722</v>
      </c>
      <c r="O25">
        <f t="shared" ca="1" si="2"/>
        <v>0.26529437233819464</v>
      </c>
      <c r="Q25" s="2">
        <f t="shared" si="3"/>
        <v>37042.931640000003</v>
      </c>
    </row>
    <row r="26" spans="1:31" x14ac:dyDescent="0.2">
      <c r="A26" s="62" t="s">
        <v>100</v>
      </c>
      <c r="B26" s="61" t="s">
        <v>194</v>
      </c>
      <c r="C26" s="62">
        <v>52483.463000000003</v>
      </c>
      <c r="D26" s="62" t="s">
        <v>73</v>
      </c>
      <c r="E26" s="31">
        <f t="shared" si="0"/>
        <v>20783.815834943205</v>
      </c>
      <c r="F26">
        <f t="shared" si="4"/>
        <v>20784</v>
      </c>
      <c r="G26">
        <f t="shared" si="1"/>
        <v>-9.6780799998668954E-2</v>
      </c>
      <c r="I26">
        <f>+G26</f>
        <v>-9.6780799998668954E-2</v>
      </c>
      <c r="O26">
        <f t="shared" ca="1" si="2"/>
        <v>0.24422739584573139</v>
      </c>
      <c r="Q26" s="2">
        <f t="shared" si="3"/>
        <v>37464.963000000003</v>
      </c>
    </row>
    <row r="27" spans="1:31" x14ac:dyDescent="0.2">
      <c r="A27" s="32" t="s">
        <v>36</v>
      </c>
      <c r="B27" s="36" t="s">
        <v>37</v>
      </c>
      <c r="C27" s="37">
        <v>53174.841</v>
      </c>
      <c r="D27" s="38">
        <v>5.0000000000000001E-3</v>
      </c>
      <c r="E27" s="31">
        <f t="shared" si="0"/>
        <v>22099.445263963931</v>
      </c>
      <c r="F27">
        <f t="shared" si="4"/>
        <v>22099.5</v>
      </c>
      <c r="G27">
        <f t="shared" si="1"/>
        <v>-2.8764399998181034E-2</v>
      </c>
      <c r="K27">
        <f>+G27</f>
        <v>-2.8764399998181034E-2</v>
      </c>
      <c r="O27">
        <f t="shared" ca="1" si="2"/>
        <v>0.20973628498594876</v>
      </c>
      <c r="Q27" s="2">
        <f t="shared" si="3"/>
        <v>38156.341</v>
      </c>
    </row>
    <row r="28" spans="1:31" x14ac:dyDescent="0.2">
      <c r="A28" s="39" t="s">
        <v>46</v>
      </c>
      <c r="B28" s="31"/>
      <c r="C28" s="32">
        <v>53815.94</v>
      </c>
      <c r="D28" s="32">
        <v>1E-3</v>
      </c>
      <c r="E28" s="31">
        <f t="shared" si="0"/>
        <v>23319.398330615986</v>
      </c>
      <c r="F28">
        <f t="shared" si="4"/>
        <v>23319.5</v>
      </c>
      <c r="G28">
        <f t="shared" si="1"/>
        <v>-5.3428399995027576E-2</v>
      </c>
      <c r="K28" s="31">
        <f>G28</f>
        <v>-5.3428399995027576E-2</v>
      </c>
      <c r="O28">
        <f t="shared" ca="1" si="2"/>
        <v>0.17774908981382043</v>
      </c>
      <c r="Q28" s="2">
        <f t="shared" si="3"/>
        <v>38797.440000000002</v>
      </c>
    </row>
    <row r="29" spans="1:31" x14ac:dyDescent="0.2">
      <c r="A29" s="40" t="s">
        <v>40</v>
      </c>
      <c r="B29" s="33"/>
      <c r="C29" s="32">
        <v>53849.4764</v>
      </c>
      <c r="D29" s="32">
        <v>6.0000000000000001E-3</v>
      </c>
      <c r="E29" s="31">
        <f t="shared" si="0"/>
        <v>23383.215048508959</v>
      </c>
      <c r="F29">
        <f t="shared" si="4"/>
        <v>23383</v>
      </c>
      <c r="G29">
        <f t="shared" si="1"/>
        <v>0.11301040000398643</v>
      </c>
      <c r="J29">
        <f>+G29</f>
        <v>0.11301040000398643</v>
      </c>
      <c r="O29">
        <f t="shared" ca="1" si="2"/>
        <v>0.17608418252412361</v>
      </c>
      <c r="Q29" s="2">
        <f t="shared" si="3"/>
        <v>38830.9764</v>
      </c>
    </row>
    <row r="30" spans="1:31" x14ac:dyDescent="0.2">
      <c r="A30" s="40" t="s">
        <v>48</v>
      </c>
      <c r="B30" s="41" t="s">
        <v>37</v>
      </c>
      <c r="C30" s="32">
        <v>54297.536</v>
      </c>
      <c r="D30" s="42"/>
      <c r="E30" s="31">
        <f t="shared" si="0"/>
        <v>24235.831700637402</v>
      </c>
      <c r="F30">
        <f t="shared" si="4"/>
        <v>24236</v>
      </c>
      <c r="G30">
        <f t="shared" si="1"/>
        <v>-8.8443199994799215E-2</v>
      </c>
      <c r="J30">
        <f>+G30</f>
        <v>-8.8443199994799215E-2</v>
      </c>
      <c r="O30">
        <f t="shared" ca="1" si="2"/>
        <v>0.15371936491606997</v>
      </c>
      <c r="Q30" s="2">
        <f t="shared" si="3"/>
        <v>39279.036</v>
      </c>
    </row>
    <row r="31" spans="1:31" x14ac:dyDescent="0.2">
      <c r="A31" s="32" t="s">
        <v>50</v>
      </c>
      <c r="B31" s="41" t="s">
        <v>37</v>
      </c>
      <c r="C31" s="32">
        <v>54584.354659999997</v>
      </c>
      <c r="D31" s="32">
        <v>5.0000000000000001E-3</v>
      </c>
      <c r="E31" s="31">
        <f t="shared" si="0"/>
        <v>24781.621514441555</v>
      </c>
      <c r="F31">
        <f t="shared" si="4"/>
        <v>24781.5</v>
      </c>
      <c r="G31">
        <f t="shared" si="1"/>
        <v>6.385720000253059E-2</v>
      </c>
      <c r="K31">
        <f>+G31</f>
        <v>6.385720000253059E-2</v>
      </c>
      <c r="O31">
        <f t="shared" ca="1" si="2"/>
        <v>0.13941689363213883</v>
      </c>
      <c r="Q31" s="2">
        <f t="shared" si="3"/>
        <v>39565.854659999997</v>
      </c>
    </row>
    <row r="32" spans="1:31" x14ac:dyDescent="0.2">
      <c r="A32" s="58" t="s">
        <v>62</v>
      </c>
      <c r="B32" s="59" t="s">
        <v>37</v>
      </c>
      <c r="C32" s="60">
        <v>54778.078000000001</v>
      </c>
      <c r="D32" s="60">
        <v>0.01</v>
      </c>
      <c r="E32" s="31">
        <f t="shared" si="0"/>
        <v>25150.259404556942</v>
      </c>
      <c r="F32">
        <f t="shared" si="4"/>
        <v>25150.5</v>
      </c>
      <c r="G32">
        <f t="shared" si="1"/>
        <v>-0.12643559999560239</v>
      </c>
      <c r="I32">
        <f>+G32</f>
        <v>-0.12643559999560239</v>
      </c>
      <c r="O32">
        <f t="shared" ca="1" si="2"/>
        <v>0.12974207804319182</v>
      </c>
      <c r="Q32" s="2">
        <f t="shared" si="3"/>
        <v>39759.578000000001</v>
      </c>
    </row>
    <row r="33" spans="1:17" x14ac:dyDescent="0.2">
      <c r="A33" s="34" t="s">
        <v>52</v>
      </c>
      <c r="B33" s="35" t="s">
        <v>37</v>
      </c>
      <c r="C33" s="34">
        <v>55321.714</v>
      </c>
      <c r="D33" s="34">
        <v>2E-3</v>
      </c>
      <c r="E33" s="31">
        <f t="shared" si="0"/>
        <v>26184.749249873272</v>
      </c>
      <c r="F33">
        <f t="shared" si="4"/>
        <v>26184.5</v>
      </c>
      <c r="G33">
        <f t="shared" si="1"/>
        <v>0.13098360000003595</v>
      </c>
      <c r="K33">
        <f>G33</f>
        <v>0.13098360000003595</v>
      </c>
      <c r="O33">
        <f t="shared" ca="1" si="2"/>
        <v>0.10263161918419117</v>
      </c>
      <c r="Q33" s="2">
        <f t="shared" si="3"/>
        <v>40303.214</v>
      </c>
    </row>
    <row r="34" spans="1:17" x14ac:dyDescent="0.2">
      <c r="A34" s="34" t="s">
        <v>52</v>
      </c>
      <c r="B34" s="35" t="s">
        <v>37</v>
      </c>
      <c r="C34" s="34">
        <v>55321.714</v>
      </c>
      <c r="D34" s="34">
        <v>2E-3</v>
      </c>
      <c r="E34" s="31">
        <f t="shared" si="0"/>
        <v>26184.749249873272</v>
      </c>
      <c r="F34">
        <f t="shared" si="4"/>
        <v>26184.5</v>
      </c>
      <c r="G34">
        <f t="shared" si="1"/>
        <v>0.13098360000003595</v>
      </c>
      <c r="K34">
        <f>G34</f>
        <v>0.13098360000003595</v>
      </c>
      <c r="O34">
        <f t="shared" ca="1" si="2"/>
        <v>0.10263161918419117</v>
      </c>
      <c r="Q34" s="2">
        <f t="shared" si="3"/>
        <v>40303.214</v>
      </c>
    </row>
    <row r="35" spans="1:17" x14ac:dyDescent="0.2">
      <c r="A35" s="34" t="s">
        <v>55</v>
      </c>
      <c r="B35" s="35" t="s">
        <v>37</v>
      </c>
      <c r="C35" s="34">
        <v>55685.598299999998</v>
      </c>
      <c r="D35" s="34">
        <v>4.1999999999999997E-3</v>
      </c>
      <c r="E35" s="31">
        <f t="shared" si="0"/>
        <v>26877.187964785528</v>
      </c>
      <c r="F35">
        <f t="shared" si="4"/>
        <v>26877</v>
      </c>
      <c r="G35">
        <f t="shared" si="1"/>
        <v>9.8777599996537901E-2</v>
      </c>
      <c r="J35">
        <f t="shared" ref="J35:J45" si="5">+G35</f>
        <v>9.8777599996537901E-2</v>
      </c>
      <c r="O35">
        <f t="shared" ca="1" si="2"/>
        <v>8.4474953072142922E-2</v>
      </c>
      <c r="Q35" s="2">
        <f t="shared" si="3"/>
        <v>40667.098299999998</v>
      </c>
    </row>
    <row r="36" spans="1:17" x14ac:dyDescent="0.2">
      <c r="A36" s="40" t="s">
        <v>57</v>
      </c>
      <c r="B36" s="41" t="s">
        <v>37</v>
      </c>
      <c r="C36" s="32">
        <v>56055.511700000003</v>
      </c>
      <c r="D36" s="32">
        <v>6.8999999999999999E-3</v>
      </c>
      <c r="E36" s="31">
        <f t="shared" si="0"/>
        <v>27581.099508440551</v>
      </c>
      <c r="F36">
        <f t="shared" si="4"/>
        <v>27581</v>
      </c>
      <c r="G36">
        <f t="shared" si="1"/>
        <v>5.2292800006398465E-2</v>
      </c>
      <c r="J36">
        <f t="shared" si="5"/>
        <v>5.2292800006398465E-2</v>
      </c>
      <c r="O36">
        <f t="shared" ca="1" si="2"/>
        <v>6.60167683170787E-2</v>
      </c>
      <c r="Q36" s="2">
        <f t="shared" si="3"/>
        <v>41037.011700000003</v>
      </c>
    </row>
    <row r="37" spans="1:17" x14ac:dyDescent="0.2">
      <c r="A37" s="33" t="s">
        <v>60</v>
      </c>
      <c r="B37" s="36" t="s">
        <v>37</v>
      </c>
      <c r="C37" s="32">
        <v>56390.466800000002</v>
      </c>
      <c r="D37" s="37">
        <v>2.8E-3</v>
      </c>
      <c r="E37" s="31">
        <f t="shared" si="0"/>
        <v>28218.488587874064</v>
      </c>
      <c r="F37">
        <f t="shared" si="4"/>
        <v>28218.5</v>
      </c>
      <c r="G37">
        <f t="shared" si="1"/>
        <v>-5.9971999944536947E-3</v>
      </c>
      <c r="J37">
        <f t="shared" si="5"/>
        <v>-5.9971999944536947E-3</v>
      </c>
      <c r="O37">
        <f t="shared" ca="1" si="2"/>
        <v>4.9302147889019876E-2</v>
      </c>
      <c r="Q37" s="2">
        <f t="shared" si="3"/>
        <v>41371.966800000002</v>
      </c>
    </row>
    <row r="38" spans="1:17" x14ac:dyDescent="0.2">
      <c r="A38" s="32" t="s">
        <v>58</v>
      </c>
      <c r="B38" s="41" t="s">
        <v>37</v>
      </c>
      <c r="C38" s="32">
        <v>56450.420400000003</v>
      </c>
      <c r="D38" s="32">
        <v>8.9999999999999993E-3</v>
      </c>
      <c r="E38" s="31">
        <f t="shared" si="0"/>
        <v>28332.574833799936</v>
      </c>
      <c r="F38">
        <f t="shared" si="4"/>
        <v>28332.5</v>
      </c>
      <c r="G38">
        <f t="shared" si="1"/>
        <v>3.9326000005530659E-2</v>
      </c>
      <c r="J38">
        <f t="shared" si="5"/>
        <v>3.9326000005530659E-2</v>
      </c>
      <c r="O38">
        <f t="shared" ca="1" si="2"/>
        <v>4.63131804712964E-2</v>
      </c>
      <c r="Q38" s="2">
        <f t="shared" si="3"/>
        <v>41431.920400000003</v>
      </c>
    </row>
    <row r="39" spans="1:17" x14ac:dyDescent="0.2">
      <c r="A39" s="32" t="s">
        <v>58</v>
      </c>
      <c r="B39" s="41" t="s">
        <v>37</v>
      </c>
      <c r="C39" s="32">
        <v>56451.490599999997</v>
      </c>
      <c r="D39" s="32">
        <v>5.0000000000000001E-3</v>
      </c>
      <c r="E39" s="31">
        <f t="shared" si="0"/>
        <v>28334.611327027855</v>
      </c>
      <c r="F39">
        <f t="shared" si="4"/>
        <v>28334.5</v>
      </c>
      <c r="G39">
        <f t="shared" si="1"/>
        <v>5.8503599997493438E-2</v>
      </c>
      <c r="J39">
        <f t="shared" si="5"/>
        <v>5.8503599997493438E-2</v>
      </c>
      <c r="O39">
        <f t="shared" ca="1" si="2"/>
        <v>4.6260742446424086E-2</v>
      </c>
      <c r="Q39" s="2">
        <f t="shared" si="3"/>
        <v>41432.990599999997</v>
      </c>
    </row>
    <row r="40" spans="1:17" x14ac:dyDescent="0.2">
      <c r="A40" s="33" t="s">
        <v>60</v>
      </c>
      <c r="B40" s="36" t="s">
        <v>37</v>
      </c>
      <c r="C40" s="32">
        <v>56492.518700000001</v>
      </c>
      <c r="D40" s="37">
        <v>2.2000000000000001E-3</v>
      </c>
      <c r="E40" s="31">
        <f t="shared" si="0"/>
        <v>28412.684068389033</v>
      </c>
      <c r="F40">
        <f t="shared" si="4"/>
        <v>28412.5</v>
      </c>
      <c r="G40">
        <f t="shared" si="1"/>
        <v>9.6730000004754402E-2</v>
      </c>
      <c r="J40">
        <f t="shared" si="5"/>
        <v>9.6730000004754402E-2</v>
      </c>
      <c r="O40">
        <f t="shared" ca="1" si="2"/>
        <v>4.4215659476402713E-2</v>
      </c>
      <c r="Q40" s="2">
        <f t="shared" si="3"/>
        <v>41474.018700000001</v>
      </c>
    </row>
    <row r="41" spans="1:17" x14ac:dyDescent="0.2">
      <c r="A41" s="33" t="s">
        <v>60</v>
      </c>
      <c r="B41" s="36" t="s">
        <v>37</v>
      </c>
      <c r="C41" s="32">
        <v>56496.422700000003</v>
      </c>
      <c r="D41" s="37">
        <v>2.7000000000000001E-3</v>
      </c>
      <c r="E41" s="31">
        <f t="shared" si="0"/>
        <v>28420.113025183869</v>
      </c>
      <c r="F41">
        <f t="shared" si="4"/>
        <v>28420</v>
      </c>
      <c r="G41">
        <f t="shared" si="1"/>
        <v>5.9396000004198868E-2</v>
      </c>
      <c r="J41">
        <f t="shared" si="5"/>
        <v>5.9396000004198868E-2</v>
      </c>
      <c r="O41">
        <f t="shared" ca="1" si="2"/>
        <v>4.4019016883131479E-2</v>
      </c>
      <c r="Q41" s="2">
        <f t="shared" si="3"/>
        <v>41477.922700000003</v>
      </c>
    </row>
    <row r="42" spans="1:17" x14ac:dyDescent="0.2">
      <c r="A42" s="33" t="s">
        <v>60</v>
      </c>
      <c r="B42" s="36" t="s">
        <v>37</v>
      </c>
      <c r="C42" s="32">
        <v>56506.438499999997</v>
      </c>
      <c r="D42" s="37">
        <v>2.5000000000000001E-3</v>
      </c>
      <c r="E42" s="31">
        <f t="shared" si="0"/>
        <v>28439.172181296988</v>
      </c>
      <c r="F42">
        <f t="shared" si="4"/>
        <v>28439</v>
      </c>
      <c r="G42">
        <f t="shared" si="1"/>
        <v>9.0483200001472142E-2</v>
      </c>
      <c r="J42">
        <f t="shared" si="5"/>
        <v>9.0483200001472142E-2</v>
      </c>
      <c r="O42">
        <f t="shared" ca="1" si="2"/>
        <v>4.352085564684427E-2</v>
      </c>
      <c r="Q42" s="2">
        <f t="shared" si="3"/>
        <v>41487.938499999997</v>
      </c>
    </row>
    <row r="43" spans="1:17" x14ac:dyDescent="0.2">
      <c r="A43" s="37" t="s">
        <v>61</v>
      </c>
      <c r="B43" s="41"/>
      <c r="C43" s="37">
        <v>56827.453600000001</v>
      </c>
      <c r="D43" s="37">
        <v>2.0000000000000001E-4</v>
      </c>
      <c r="E43" s="31">
        <f t="shared" si="0"/>
        <v>29050.034709060441</v>
      </c>
      <c r="F43">
        <f t="shared" si="4"/>
        <v>29050</v>
      </c>
      <c r="G43">
        <f t="shared" si="1"/>
        <v>1.824000000488013E-2</v>
      </c>
      <c r="J43">
        <f t="shared" si="5"/>
        <v>1.824000000488013E-2</v>
      </c>
      <c r="O43">
        <f t="shared" ca="1" si="2"/>
        <v>2.7501039048343889E-2</v>
      </c>
      <c r="Q43" s="2">
        <f t="shared" si="3"/>
        <v>41808.953600000001</v>
      </c>
    </row>
    <row r="44" spans="1:17" x14ac:dyDescent="0.2">
      <c r="A44" s="56" t="s">
        <v>74</v>
      </c>
      <c r="B44" s="57"/>
      <c r="C44" s="56">
        <v>57133.5262</v>
      </c>
      <c r="D44" s="56">
        <v>4.0000000000000002E-4</v>
      </c>
      <c r="E44" s="31">
        <f t="shared" si="0"/>
        <v>29632.463018866205</v>
      </c>
      <c r="F44">
        <f t="shared" si="4"/>
        <v>29632.5</v>
      </c>
      <c r="G44">
        <f t="shared" si="1"/>
        <v>-1.9433999994362239E-2</v>
      </c>
      <c r="J44">
        <f t="shared" si="5"/>
        <v>-1.9433999994362239E-2</v>
      </c>
      <c r="O44">
        <f t="shared" ca="1" si="2"/>
        <v>1.2228464304274378E-2</v>
      </c>
      <c r="Q44" s="2">
        <f t="shared" si="3"/>
        <v>42115.0262</v>
      </c>
    </row>
    <row r="45" spans="1:17" x14ac:dyDescent="0.2">
      <c r="A45" s="56" t="s">
        <v>74</v>
      </c>
      <c r="B45" s="57"/>
      <c r="C45" s="56">
        <v>57158.536800000002</v>
      </c>
      <c r="D45" s="56">
        <v>1E-4</v>
      </c>
      <c r="E45" s="31">
        <f t="shared" si="0"/>
        <v>29680.055915078505</v>
      </c>
      <c r="F45">
        <f t="shared" si="4"/>
        <v>29680</v>
      </c>
      <c r="G45">
        <f t="shared" si="1"/>
        <v>2.9384000001300592E-2</v>
      </c>
      <c r="J45">
        <f t="shared" si="5"/>
        <v>2.9384000001300592E-2</v>
      </c>
      <c r="O45">
        <f t="shared" ca="1" si="2"/>
        <v>1.09830612135563E-2</v>
      </c>
      <c r="Q45" s="2">
        <f t="shared" si="3"/>
        <v>42140.036800000002</v>
      </c>
    </row>
    <row r="46" spans="1:17" x14ac:dyDescent="0.2">
      <c r="A46" s="63" t="s">
        <v>1</v>
      </c>
      <c r="B46" s="64" t="s">
        <v>37</v>
      </c>
      <c r="C46" s="65">
        <v>57513.436000000002</v>
      </c>
      <c r="D46" s="65">
        <v>2.9999999999999997E-4</v>
      </c>
      <c r="E46" s="31">
        <f t="shared" si="0"/>
        <v>30355.396802199466</v>
      </c>
      <c r="F46">
        <f t="shared" si="4"/>
        <v>30355.5</v>
      </c>
      <c r="G46">
        <f t="shared" si="1"/>
        <v>-5.4231599991908297E-2</v>
      </c>
      <c r="K46">
        <f>G46</f>
        <v>-5.4231599991908297E-2</v>
      </c>
      <c r="O46">
        <f t="shared" ca="1" si="2"/>
        <v>-6.727881687077053E-3</v>
      </c>
      <c r="Q46" s="2">
        <f t="shared" si="3"/>
        <v>42494.936000000002</v>
      </c>
    </row>
    <row r="47" spans="1:17" x14ac:dyDescent="0.2">
      <c r="A47" s="63" t="s">
        <v>1</v>
      </c>
      <c r="B47" s="64" t="s">
        <v>37</v>
      </c>
      <c r="C47" s="65">
        <v>57515.5916</v>
      </c>
      <c r="D47" s="65">
        <v>5.0000000000000001E-4</v>
      </c>
      <c r="E47" s="31">
        <f t="shared" si="0"/>
        <v>30359.498712872344</v>
      </c>
      <c r="F47">
        <f t="shared" si="4"/>
        <v>30359.5</v>
      </c>
      <c r="G47">
        <f t="shared" si="1"/>
        <v>-6.7639999906532466E-4</v>
      </c>
      <c r="K47">
        <f>G47</f>
        <v>-6.7639999906532466E-4</v>
      </c>
      <c r="O47">
        <f t="shared" ca="1" si="2"/>
        <v>-6.8327577368216819E-3</v>
      </c>
      <c r="Q47" s="2">
        <f t="shared" si="3"/>
        <v>42497.0916</v>
      </c>
    </row>
    <row r="48" spans="1:17" x14ac:dyDescent="0.2">
      <c r="A48" s="63" t="s">
        <v>1</v>
      </c>
      <c r="B48" s="64" t="s">
        <v>37</v>
      </c>
      <c r="C48" s="65">
        <v>57528.448100000001</v>
      </c>
      <c r="D48" s="65">
        <v>5.0000000000000001E-4</v>
      </c>
      <c r="E48" s="31">
        <f t="shared" si="0"/>
        <v>30383.96346262459</v>
      </c>
      <c r="F48">
        <f t="shared" si="4"/>
        <v>30384</v>
      </c>
      <c r="G48">
        <f t="shared" si="1"/>
        <v>-1.9200799993996043E-2</v>
      </c>
      <c r="K48">
        <f>G48</f>
        <v>-1.9200799993996043E-2</v>
      </c>
      <c r="O48">
        <f t="shared" ca="1" si="2"/>
        <v>-7.475123541507922E-3</v>
      </c>
      <c r="Q48" s="2">
        <f t="shared" si="3"/>
        <v>42509.948100000001</v>
      </c>
    </row>
    <row r="49" spans="1:17" x14ac:dyDescent="0.2">
      <c r="A49" s="77" t="s">
        <v>0</v>
      </c>
      <c r="B49" s="78" t="s">
        <v>37</v>
      </c>
      <c r="C49" s="78">
        <v>57899.451399999998</v>
      </c>
      <c r="D49" s="78">
        <v>4.0000000000000002E-4</v>
      </c>
      <c r="E49" s="31">
        <f>+(C49-C$7)/C$8</f>
        <v>31089.948986815125</v>
      </c>
      <c r="F49">
        <f>ROUND(2*E49,0)/2</f>
        <v>31090</v>
      </c>
      <c r="G49">
        <f>+C49-(C$7+F49*C$8)</f>
        <v>-2.6808000002347399E-2</v>
      </c>
      <c r="K49">
        <f>G49</f>
        <v>-2.6808000002347399E-2</v>
      </c>
      <c r="O49">
        <f ca="1">+C$11+C$12*F49</f>
        <v>-2.5985746321444458E-2</v>
      </c>
      <c r="Q49" s="2">
        <f>+C49-15018.5</f>
        <v>42880.951399999998</v>
      </c>
    </row>
    <row r="50" spans="1:17" x14ac:dyDescent="0.2">
      <c r="A50" s="77" t="s">
        <v>0</v>
      </c>
      <c r="B50" s="78" t="s">
        <v>37</v>
      </c>
      <c r="C50" s="78">
        <v>57919.433299999997</v>
      </c>
      <c r="D50" s="78">
        <v>6.9999999999999999E-4</v>
      </c>
      <c r="E50" s="31">
        <f>+(C50-C$7)/C$8</f>
        <v>31127.97272446334</v>
      </c>
      <c r="F50">
        <f>ROUND(2*E50,0)/2</f>
        <v>31128</v>
      </c>
      <c r="G50">
        <f>+C50-(C$7+F50*C$8)</f>
        <v>-1.4333599996461999E-2</v>
      </c>
      <c r="K50">
        <f>G50</f>
        <v>-1.4333599996461999E-2</v>
      </c>
      <c r="O50">
        <f ca="1">+C$11+C$12*F50</f>
        <v>-2.6982068794018987E-2</v>
      </c>
      <c r="Q50" s="2">
        <f>+C50-15018.5</f>
        <v>42900.933299999997</v>
      </c>
    </row>
    <row r="51" spans="1:17" x14ac:dyDescent="0.2">
      <c r="A51" s="79" t="s">
        <v>196</v>
      </c>
      <c r="B51" s="80" t="s">
        <v>37</v>
      </c>
      <c r="C51" s="81">
        <v>59367.407200000001</v>
      </c>
      <c r="D51" s="79">
        <v>6.9999999999999999E-4</v>
      </c>
      <c r="E51" s="31">
        <f>+(C51-C$7)/C$8</f>
        <v>33883.335312358715</v>
      </c>
      <c r="F51">
        <f>ROUND(2*E51,0)/2</f>
        <v>33883.5</v>
      </c>
      <c r="G51">
        <f>+C51-(C$7+F51*C$8)</f>
        <v>-8.6545199999818578E-2</v>
      </c>
      <c r="K51">
        <f>G51</f>
        <v>-8.6545199999818578E-2</v>
      </c>
      <c r="O51">
        <f ca="1">+C$11+C$12*F51</f>
        <v>-9.9228557561887532E-2</v>
      </c>
      <c r="Q51" s="2">
        <f>+C51-15018.5</f>
        <v>44348.907200000001</v>
      </c>
    </row>
  </sheetData>
  <phoneticPr fontId="8" type="noConversion"/>
  <hyperlinks>
    <hyperlink ref="H191" r:id="rId1" display="http://vsolj.cetus-net.org/bulletin.html"/>
    <hyperlink ref="H184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10" workbookViewId="0">
      <selection activeCell="A32" sqref="A32:D3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63</v>
      </c>
      <c r="I1" s="44" t="s">
        <v>64</v>
      </c>
      <c r="J1" s="45" t="s">
        <v>65</v>
      </c>
    </row>
    <row r="2" spans="1:16" x14ac:dyDescent="0.2">
      <c r="I2" s="46" t="s">
        <v>66</v>
      </c>
      <c r="J2" s="47" t="s">
        <v>67</v>
      </c>
    </row>
    <row r="3" spans="1:16" x14ac:dyDescent="0.2">
      <c r="A3" s="48" t="s">
        <v>68</v>
      </c>
      <c r="I3" s="46" t="s">
        <v>69</v>
      </c>
      <c r="J3" s="47" t="s">
        <v>70</v>
      </c>
    </row>
    <row r="4" spans="1:16" x14ac:dyDescent="0.2">
      <c r="I4" s="46" t="s">
        <v>71</v>
      </c>
      <c r="J4" s="47" t="s">
        <v>70</v>
      </c>
    </row>
    <row r="5" spans="1:16" ht="13.5" thickBot="1" x14ac:dyDescent="0.25">
      <c r="I5" s="49" t="s">
        <v>72</v>
      </c>
      <c r="J5" s="50" t="s">
        <v>73</v>
      </c>
    </row>
    <row r="10" spans="1:16" ht="13.5" thickBot="1" x14ac:dyDescent="0.25"/>
    <row r="11" spans="1:16" ht="12.75" customHeight="1" thickBot="1" x14ac:dyDescent="0.25">
      <c r="A11" s="10" t="str">
        <f t="shared" ref="A11:A33" si="0">P11</f>
        <v>IBVS 4888 </v>
      </c>
      <c r="B11" s="5" t="str">
        <f t="shared" ref="B11:B33" si="1">IF(H11=INT(H11),"I","II")</f>
        <v>II</v>
      </c>
      <c r="C11" s="10">
        <f t="shared" ref="C11:C33" si="2">1*G11</f>
        <v>50899.504500000003</v>
      </c>
      <c r="D11" s="12" t="str">
        <f t="shared" ref="D11:D33" si="3">VLOOKUP(F11,I$1:J$5,2,FALSE)</f>
        <v>vis</v>
      </c>
      <c r="E11" s="51">
        <f>VLOOKUP(C11,'Active 1'!C$21:E$972,3,FALSE)</f>
        <v>26177.135368485982</v>
      </c>
      <c r="F11" s="5" t="s">
        <v>72</v>
      </c>
      <c r="G11" s="12" t="str">
        <f t="shared" ref="G11:G33" si="4">MID(I11,3,LEN(I11)-3)</f>
        <v>50899.5045</v>
      </c>
      <c r="H11" s="10">
        <f t="shared" ref="H11:H33" si="5">1*K11</f>
        <v>17769.5</v>
      </c>
      <c r="I11" s="52" t="s">
        <v>75</v>
      </c>
      <c r="J11" s="53" t="s">
        <v>76</v>
      </c>
      <c r="K11" s="52">
        <v>17769.5</v>
      </c>
      <c r="L11" s="52" t="s">
        <v>77</v>
      </c>
      <c r="M11" s="53" t="s">
        <v>78</v>
      </c>
      <c r="N11" s="53" t="s">
        <v>79</v>
      </c>
      <c r="O11" s="54" t="s">
        <v>80</v>
      </c>
      <c r="P11" s="55" t="s">
        <v>81</v>
      </c>
    </row>
    <row r="12" spans="1:16" ht="12.75" customHeight="1" thickBot="1" x14ac:dyDescent="0.25">
      <c r="A12" s="10" t="str">
        <f t="shared" si="0"/>
        <v> BBS 118 </v>
      </c>
      <c r="B12" s="5" t="str">
        <f t="shared" si="1"/>
        <v>II</v>
      </c>
      <c r="C12" s="10">
        <f t="shared" si="2"/>
        <v>51040.420700000002</v>
      </c>
      <c r="D12" s="12" t="str">
        <f t="shared" si="3"/>
        <v>vis</v>
      </c>
      <c r="E12" s="51">
        <f>VLOOKUP(C12,'Active 1'!C$21:E$972,3,FALSE)</f>
        <v>26572.157373924267</v>
      </c>
      <c r="F12" s="5" t="s">
        <v>72</v>
      </c>
      <c r="G12" s="12" t="str">
        <f t="shared" si="4"/>
        <v>51040.4207</v>
      </c>
      <c r="H12" s="10">
        <f t="shared" si="5"/>
        <v>18037.5</v>
      </c>
      <c r="I12" s="52" t="s">
        <v>82</v>
      </c>
      <c r="J12" s="53" t="s">
        <v>83</v>
      </c>
      <c r="K12" s="52">
        <v>18037.5</v>
      </c>
      <c r="L12" s="52" t="s">
        <v>84</v>
      </c>
      <c r="M12" s="53" t="s">
        <v>78</v>
      </c>
      <c r="N12" s="53" t="s">
        <v>79</v>
      </c>
      <c r="O12" s="54" t="s">
        <v>85</v>
      </c>
      <c r="P12" s="54" t="s">
        <v>86</v>
      </c>
    </row>
    <row r="13" spans="1:16" ht="12.75" customHeight="1" thickBot="1" x14ac:dyDescent="0.25">
      <c r="A13" s="10" t="str">
        <f t="shared" si="0"/>
        <v>IBVS 4888 </v>
      </c>
      <c r="B13" s="5" t="str">
        <f t="shared" si="1"/>
        <v>II</v>
      </c>
      <c r="C13" s="10">
        <f t="shared" si="2"/>
        <v>51120.281499999997</v>
      </c>
      <c r="D13" s="12" t="str">
        <f t="shared" si="3"/>
        <v>vis</v>
      </c>
      <c r="E13" s="51">
        <f>VLOOKUP(C13,'Active 1'!C$21:E$972,3,FALSE)</f>
        <v>26796.02640652594</v>
      </c>
      <c r="F13" s="5" t="s">
        <v>72</v>
      </c>
      <c r="G13" s="12" t="str">
        <f t="shared" si="4"/>
        <v>51120.2815</v>
      </c>
      <c r="H13" s="10">
        <f t="shared" si="5"/>
        <v>18189.5</v>
      </c>
      <c r="I13" s="52" t="s">
        <v>87</v>
      </c>
      <c r="J13" s="53" t="s">
        <v>88</v>
      </c>
      <c r="K13" s="52">
        <v>18189.5</v>
      </c>
      <c r="L13" s="52" t="s">
        <v>89</v>
      </c>
      <c r="M13" s="53" t="s">
        <v>78</v>
      </c>
      <c r="N13" s="53" t="s">
        <v>79</v>
      </c>
      <c r="O13" s="54" t="s">
        <v>80</v>
      </c>
      <c r="P13" s="55" t="s">
        <v>81</v>
      </c>
    </row>
    <row r="14" spans="1:16" ht="12.75" customHeight="1" thickBot="1" x14ac:dyDescent="0.25">
      <c r="A14" s="10" t="str">
        <f t="shared" si="0"/>
        <v>OEJV 0074 </v>
      </c>
      <c r="B14" s="5" t="str">
        <f t="shared" si="1"/>
        <v>II</v>
      </c>
      <c r="C14" s="10">
        <f t="shared" si="2"/>
        <v>52061.431640000003</v>
      </c>
      <c r="D14" s="12" t="str">
        <f t="shared" si="3"/>
        <v>vis</v>
      </c>
      <c r="E14" s="51">
        <f>VLOOKUP(C14,'Active 1'!C$21:E$972,3,FALSE)</f>
        <v>29434.296638914595</v>
      </c>
      <c r="F14" s="5" t="s">
        <v>72</v>
      </c>
      <c r="G14" s="12" t="str">
        <f t="shared" si="4"/>
        <v>52061.43164</v>
      </c>
      <c r="H14" s="10">
        <f t="shared" si="5"/>
        <v>19980.5</v>
      </c>
      <c r="I14" s="52" t="s">
        <v>90</v>
      </c>
      <c r="J14" s="53" t="s">
        <v>91</v>
      </c>
      <c r="K14" s="52">
        <v>19980.5</v>
      </c>
      <c r="L14" s="52" t="s">
        <v>92</v>
      </c>
      <c r="M14" s="53" t="s">
        <v>93</v>
      </c>
      <c r="N14" s="53" t="s">
        <v>94</v>
      </c>
      <c r="O14" s="54" t="s">
        <v>95</v>
      </c>
      <c r="P14" s="55" t="s">
        <v>96</v>
      </c>
    </row>
    <row r="15" spans="1:16" ht="12.75" customHeight="1" thickBot="1" x14ac:dyDescent="0.25">
      <c r="A15" s="10" t="str">
        <f t="shared" si="0"/>
        <v>IBVS 5603 </v>
      </c>
      <c r="B15" s="5" t="str">
        <f t="shared" si="1"/>
        <v>I</v>
      </c>
      <c r="C15" s="10">
        <f t="shared" si="2"/>
        <v>53174.841</v>
      </c>
      <c r="D15" s="12" t="str">
        <f t="shared" si="3"/>
        <v>vis</v>
      </c>
      <c r="E15" s="51">
        <f>VLOOKUP(C15,'Active 1'!C$21:E$972,3,FALSE)</f>
        <v>32555.450901241838</v>
      </c>
      <c r="F15" s="5" t="s">
        <v>72</v>
      </c>
      <c r="G15" s="12" t="str">
        <f t="shared" si="4"/>
        <v>53174.841</v>
      </c>
      <c r="H15" s="10">
        <f t="shared" si="5"/>
        <v>22099</v>
      </c>
      <c r="I15" s="52" t="s">
        <v>101</v>
      </c>
      <c r="J15" s="53" t="s">
        <v>102</v>
      </c>
      <c r="K15" s="52">
        <v>22099</v>
      </c>
      <c r="L15" s="52" t="s">
        <v>103</v>
      </c>
      <c r="M15" s="53" t="s">
        <v>78</v>
      </c>
      <c r="N15" s="53" t="s">
        <v>79</v>
      </c>
      <c r="O15" s="54" t="s">
        <v>104</v>
      </c>
      <c r="P15" s="55" t="s">
        <v>105</v>
      </c>
    </row>
    <row r="16" spans="1:16" ht="12.75" customHeight="1" thickBot="1" x14ac:dyDescent="0.25">
      <c r="A16" s="10" t="str">
        <f t="shared" si="0"/>
        <v>IBVS 5760 </v>
      </c>
      <c r="B16" s="5" t="str">
        <f t="shared" si="1"/>
        <v>I</v>
      </c>
      <c r="C16" s="10">
        <f t="shared" si="2"/>
        <v>53815.94</v>
      </c>
      <c r="D16" s="12" t="str">
        <f t="shared" si="3"/>
        <v>vis</v>
      </c>
      <c r="E16" s="51">
        <f>VLOOKUP(C16,'Active 1'!C$21:E$972,3,FALSE)</f>
        <v>34352.60561208758</v>
      </c>
      <c r="F16" s="5" t="s">
        <v>72</v>
      </c>
      <c r="G16" s="12" t="str">
        <f t="shared" si="4"/>
        <v>53815.940</v>
      </c>
      <c r="H16" s="10">
        <f t="shared" si="5"/>
        <v>23319</v>
      </c>
      <c r="I16" s="52" t="s">
        <v>106</v>
      </c>
      <c r="J16" s="53" t="s">
        <v>107</v>
      </c>
      <c r="K16" s="52">
        <v>23319</v>
      </c>
      <c r="L16" s="52" t="s">
        <v>108</v>
      </c>
      <c r="M16" s="53" t="s">
        <v>93</v>
      </c>
      <c r="N16" s="53" t="s">
        <v>109</v>
      </c>
      <c r="O16" s="54" t="s">
        <v>110</v>
      </c>
      <c r="P16" s="55" t="s">
        <v>111</v>
      </c>
    </row>
    <row r="17" spans="1:16" ht="12.75" customHeight="1" thickBot="1" x14ac:dyDescent="0.25">
      <c r="A17" s="10" t="str">
        <f t="shared" si="0"/>
        <v>BAVM 178 </v>
      </c>
      <c r="B17" s="5" t="str">
        <f t="shared" si="1"/>
        <v>I</v>
      </c>
      <c r="C17" s="10">
        <f t="shared" si="2"/>
        <v>53849.4764</v>
      </c>
      <c r="D17" s="12" t="str">
        <f t="shared" si="3"/>
        <v>vis</v>
      </c>
      <c r="E17" s="51">
        <f>VLOOKUP(C17,'Active 1'!C$21:E$972,3,FALSE)</f>
        <v>34446.61620833684</v>
      </c>
      <c r="F17" s="5" t="s">
        <v>72</v>
      </c>
      <c r="G17" s="12" t="str">
        <f t="shared" si="4"/>
        <v>53849.4764</v>
      </c>
      <c r="H17" s="10">
        <f t="shared" si="5"/>
        <v>23383</v>
      </c>
      <c r="I17" s="52" t="s">
        <v>112</v>
      </c>
      <c r="J17" s="53" t="s">
        <v>113</v>
      </c>
      <c r="K17" s="52">
        <v>23383</v>
      </c>
      <c r="L17" s="52" t="s">
        <v>114</v>
      </c>
      <c r="M17" s="53" t="s">
        <v>93</v>
      </c>
      <c r="N17" s="53" t="s">
        <v>115</v>
      </c>
      <c r="O17" s="54" t="s">
        <v>116</v>
      </c>
      <c r="P17" s="55" t="s">
        <v>117</v>
      </c>
    </row>
    <row r="18" spans="1:16" ht="12.75" customHeight="1" thickBot="1" x14ac:dyDescent="0.25">
      <c r="A18" s="10" t="str">
        <f t="shared" si="0"/>
        <v>IBVS 5837 </v>
      </c>
      <c r="B18" s="5" t="str">
        <f t="shared" si="1"/>
        <v>II</v>
      </c>
      <c r="C18" s="10">
        <f t="shared" si="2"/>
        <v>54297.536</v>
      </c>
      <c r="D18" s="12" t="str">
        <f t="shared" si="3"/>
        <v>vis</v>
      </c>
      <c r="E18" s="51">
        <f>VLOOKUP(C18,'Active 1'!C$21:E$972,3,FALSE)</f>
        <v>35702.635046113312</v>
      </c>
      <c r="F18" s="5" t="s">
        <v>72</v>
      </c>
      <c r="G18" s="12" t="str">
        <f t="shared" si="4"/>
        <v>54297.536</v>
      </c>
      <c r="H18" s="10">
        <f t="shared" si="5"/>
        <v>24235.5</v>
      </c>
      <c r="I18" s="52" t="s">
        <v>118</v>
      </c>
      <c r="J18" s="53" t="s">
        <v>119</v>
      </c>
      <c r="K18" s="52" t="s">
        <v>120</v>
      </c>
      <c r="L18" s="52" t="s">
        <v>121</v>
      </c>
      <c r="M18" s="53" t="s">
        <v>93</v>
      </c>
      <c r="N18" s="53" t="s">
        <v>72</v>
      </c>
      <c r="O18" s="54" t="s">
        <v>122</v>
      </c>
      <c r="P18" s="55" t="s">
        <v>123</v>
      </c>
    </row>
    <row r="19" spans="1:16" ht="12.75" customHeight="1" thickBot="1" x14ac:dyDescent="0.25">
      <c r="A19" s="10" t="str">
        <f t="shared" si="0"/>
        <v>OEJV 0172 </v>
      </c>
      <c r="B19" s="5" t="str">
        <f t="shared" si="1"/>
        <v>I</v>
      </c>
      <c r="C19" s="10">
        <f t="shared" si="2"/>
        <v>54778.078000000001</v>
      </c>
      <c r="D19" s="12" t="str">
        <f t="shared" si="3"/>
        <v>vis</v>
      </c>
      <c r="E19" s="51">
        <f>VLOOKUP(C19,'Active 1'!C$21:E$972,3,FALSE)</f>
        <v>37049.709864603486</v>
      </c>
      <c r="F19" s="5" t="s">
        <v>72</v>
      </c>
      <c r="G19" s="12" t="str">
        <f t="shared" si="4"/>
        <v>54778.078</v>
      </c>
      <c r="H19" s="10">
        <f t="shared" si="5"/>
        <v>25150</v>
      </c>
      <c r="I19" s="52" t="s">
        <v>130</v>
      </c>
      <c r="J19" s="53" t="s">
        <v>131</v>
      </c>
      <c r="K19" s="52" t="s">
        <v>132</v>
      </c>
      <c r="L19" s="52" t="s">
        <v>133</v>
      </c>
      <c r="M19" s="53" t="s">
        <v>93</v>
      </c>
      <c r="N19" s="53" t="s">
        <v>94</v>
      </c>
      <c r="O19" s="54" t="s">
        <v>134</v>
      </c>
      <c r="P19" s="55" t="s">
        <v>135</v>
      </c>
    </row>
    <row r="20" spans="1:16" ht="12.75" customHeight="1" thickBot="1" x14ac:dyDescent="0.25">
      <c r="A20" s="10" t="str">
        <f t="shared" si="0"/>
        <v>IBVS 5945 </v>
      </c>
      <c r="B20" s="5" t="str">
        <f t="shared" si="1"/>
        <v>II</v>
      </c>
      <c r="C20" s="10">
        <f t="shared" si="2"/>
        <v>55321.714</v>
      </c>
      <c r="D20" s="12" t="str">
        <f t="shared" si="3"/>
        <v>vis</v>
      </c>
      <c r="E20" s="51">
        <f>VLOOKUP(C20,'Active 1'!C$21:E$972,3,FALSE)</f>
        <v>38573.652342107482</v>
      </c>
      <c r="F20" s="5" t="s">
        <v>72</v>
      </c>
      <c r="G20" s="12" t="str">
        <f t="shared" si="4"/>
        <v>55321.714</v>
      </c>
      <c r="H20" s="10">
        <f t="shared" si="5"/>
        <v>26184.5</v>
      </c>
      <c r="I20" s="52" t="s">
        <v>136</v>
      </c>
      <c r="J20" s="53" t="s">
        <v>137</v>
      </c>
      <c r="K20" s="52" t="s">
        <v>138</v>
      </c>
      <c r="L20" s="52" t="s">
        <v>139</v>
      </c>
      <c r="M20" s="53" t="s">
        <v>93</v>
      </c>
      <c r="N20" s="53" t="s">
        <v>72</v>
      </c>
      <c r="O20" s="54" t="s">
        <v>122</v>
      </c>
      <c r="P20" s="55" t="s">
        <v>140</v>
      </c>
    </row>
    <row r="21" spans="1:16" ht="12.75" customHeight="1" thickBot="1" x14ac:dyDescent="0.25">
      <c r="A21" s="10" t="str">
        <f t="shared" si="0"/>
        <v>BAVM 220 </v>
      </c>
      <c r="B21" s="5" t="str">
        <f t="shared" si="1"/>
        <v>I</v>
      </c>
      <c r="C21" s="10">
        <f t="shared" si="2"/>
        <v>55685.598299999998</v>
      </c>
      <c r="D21" s="12" t="str">
        <f t="shared" si="3"/>
        <v>vis</v>
      </c>
      <c r="E21" s="51">
        <f>VLOOKUP(C21,'Active 1'!C$21:E$972,3,FALSE)</f>
        <v>39593.707565946228</v>
      </c>
      <c r="F21" s="5" t="s">
        <v>72</v>
      </c>
      <c r="G21" s="12" t="str">
        <f t="shared" si="4"/>
        <v>55685.5983</v>
      </c>
      <c r="H21" s="10">
        <f t="shared" si="5"/>
        <v>26877</v>
      </c>
      <c r="I21" s="52" t="s">
        <v>141</v>
      </c>
      <c r="J21" s="53" t="s">
        <v>142</v>
      </c>
      <c r="K21" s="52" t="s">
        <v>143</v>
      </c>
      <c r="L21" s="52" t="s">
        <v>144</v>
      </c>
      <c r="M21" s="53" t="s">
        <v>93</v>
      </c>
      <c r="N21" s="53" t="s">
        <v>94</v>
      </c>
      <c r="O21" s="54" t="s">
        <v>145</v>
      </c>
      <c r="P21" s="55" t="s">
        <v>146</v>
      </c>
    </row>
    <row r="22" spans="1:16" ht="12.75" customHeight="1" thickBot="1" x14ac:dyDescent="0.25">
      <c r="A22" s="10" t="str">
        <f t="shared" si="0"/>
        <v>BAVM 228 </v>
      </c>
      <c r="B22" s="5" t="str">
        <f t="shared" si="1"/>
        <v>I</v>
      </c>
      <c r="C22" s="10">
        <f t="shared" si="2"/>
        <v>56055.511700000003</v>
      </c>
      <c r="D22" s="12" t="str">
        <f t="shared" si="3"/>
        <v>vis</v>
      </c>
      <c r="E22" s="51">
        <f>VLOOKUP(C22,'Active 1'!C$21:E$972,3,FALSE)</f>
        <v>40630.663807361321</v>
      </c>
      <c r="F22" s="5" t="s">
        <v>72</v>
      </c>
      <c r="G22" s="12" t="str">
        <f t="shared" si="4"/>
        <v>56055.5117</v>
      </c>
      <c r="H22" s="10">
        <f t="shared" si="5"/>
        <v>27581</v>
      </c>
      <c r="I22" s="52" t="s">
        <v>147</v>
      </c>
      <c r="J22" s="53" t="s">
        <v>148</v>
      </c>
      <c r="K22" s="52" t="s">
        <v>149</v>
      </c>
      <c r="L22" s="52" t="s">
        <v>150</v>
      </c>
      <c r="M22" s="53" t="s">
        <v>93</v>
      </c>
      <c r="N22" s="53" t="s">
        <v>115</v>
      </c>
      <c r="O22" s="54" t="s">
        <v>151</v>
      </c>
      <c r="P22" s="55" t="s">
        <v>152</v>
      </c>
    </row>
    <row r="23" spans="1:16" ht="12.75" customHeight="1" thickBot="1" x14ac:dyDescent="0.25">
      <c r="A23" s="10" t="str">
        <f t="shared" si="0"/>
        <v>BAVM 234 </v>
      </c>
      <c r="B23" s="5" t="str">
        <f t="shared" si="1"/>
        <v>II</v>
      </c>
      <c r="C23" s="10">
        <f t="shared" si="2"/>
        <v>56390.466800000002</v>
      </c>
      <c r="D23" s="12" t="str">
        <f t="shared" si="3"/>
        <v>vis</v>
      </c>
      <c r="E23" s="51">
        <f>VLOOKUP(C23,'Active 1'!C$21:E$972,3,FALSE)</f>
        <v>41569.623524794675</v>
      </c>
      <c r="F23" s="5" t="s">
        <v>72</v>
      </c>
      <c r="G23" s="12" t="str">
        <f t="shared" si="4"/>
        <v>56390.4668</v>
      </c>
      <c r="H23" s="10">
        <f t="shared" si="5"/>
        <v>28218.5</v>
      </c>
      <c r="I23" s="52" t="s">
        <v>153</v>
      </c>
      <c r="J23" s="53" t="s">
        <v>154</v>
      </c>
      <c r="K23" s="52" t="s">
        <v>155</v>
      </c>
      <c r="L23" s="52" t="s">
        <v>156</v>
      </c>
      <c r="M23" s="53" t="s">
        <v>93</v>
      </c>
      <c r="N23" s="53" t="s">
        <v>94</v>
      </c>
      <c r="O23" s="54" t="s">
        <v>145</v>
      </c>
      <c r="P23" s="55" t="s">
        <v>157</v>
      </c>
    </row>
    <row r="24" spans="1:16" ht="12.75" customHeight="1" thickBot="1" x14ac:dyDescent="0.25">
      <c r="A24" s="10" t="str">
        <f t="shared" si="0"/>
        <v>BAVM 232 </v>
      </c>
      <c r="B24" s="5" t="str">
        <f t="shared" si="1"/>
        <v>II</v>
      </c>
      <c r="C24" s="10">
        <f t="shared" si="2"/>
        <v>56450.420400000003</v>
      </c>
      <c r="D24" s="12" t="str">
        <f t="shared" si="3"/>
        <v>vis</v>
      </c>
      <c r="E24" s="51">
        <f>VLOOKUP(C24,'Active 1'!C$21:E$972,3,FALSE)</f>
        <v>41737.687887197615</v>
      </c>
      <c r="F24" s="5" t="s">
        <v>72</v>
      </c>
      <c r="G24" s="12" t="str">
        <f t="shared" si="4"/>
        <v>56450.4204</v>
      </c>
      <c r="H24" s="10">
        <f t="shared" si="5"/>
        <v>28332.5</v>
      </c>
      <c r="I24" s="52" t="s">
        <v>158</v>
      </c>
      <c r="J24" s="53" t="s">
        <v>159</v>
      </c>
      <c r="K24" s="52" t="s">
        <v>160</v>
      </c>
      <c r="L24" s="52" t="s">
        <v>161</v>
      </c>
      <c r="M24" s="53" t="s">
        <v>93</v>
      </c>
      <c r="N24" s="53" t="s">
        <v>94</v>
      </c>
      <c r="O24" s="54" t="s">
        <v>162</v>
      </c>
      <c r="P24" s="55" t="s">
        <v>163</v>
      </c>
    </row>
    <row r="25" spans="1:16" ht="12.75" customHeight="1" thickBot="1" x14ac:dyDescent="0.25">
      <c r="A25" s="10" t="str">
        <f t="shared" si="0"/>
        <v>BAVM 232 </v>
      </c>
      <c r="B25" s="5" t="str">
        <f t="shared" si="1"/>
        <v>II</v>
      </c>
      <c r="C25" s="10">
        <f t="shared" si="2"/>
        <v>56451.490599999997</v>
      </c>
      <c r="D25" s="12" t="str">
        <f t="shared" si="3"/>
        <v>vis</v>
      </c>
      <c r="E25" s="51">
        <f>VLOOKUP(C25,'Active 1'!C$21:E$972,3,FALSE)</f>
        <v>41740.687915230003</v>
      </c>
      <c r="F25" s="5" t="s">
        <v>72</v>
      </c>
      <c r="G25" s="12" t="str">
        <f t="shared" si="4"/>
        <v>56451.4906</v>
      </c>
      <c r="H25" s="10">
        <f t="shared" si="5"/>
        <v>28334.5</v>
      </c>
      <c r="I25" s="52" t="s">
        <v>164</v>
      </c>
      <c r="J25" s="53" t="s">
        <v>165</v>
      </c>
      <c r="K25" s="52" t="s">
        <v>166</v>
      </c>
      <c r="L25" s="52" t="s">
        <v>167</v>
      </c>
      <c r="M25" s="53" t="s">
        <v>93</v>
      </c>
      <c r="N25" s="53" t="s">
        <v>94</v>
      </c>
      <c r="O25" s="54" t="s">
        <v>162</v>
      </c>
      <c r="P25" s="55" t="s">
        <v>163</v>
      </c>
    </row>
    <row r="26" spans="1:16" ht="12.75" customHeight="1" thickBot="1" x14ac:dyDescent="0.25">
      <c r="A26" s="10" t="str">
        <f t="shared" si="0"/>
        <v>BAVM 234 </v>
      </c>
      <c r="B26" s="5" t="str">
        <f t="shared" si="1"/>
        <v>II</v>
      </c>
      <c r="C26" s="10">
        <f t="shared" si="2"/>
        <v>56492.518700000001</v>
      </c>
      <c r="D26" s="12" t="str">
        <f t="shared" si="3"/>
        <v>vis</v>
      </c>
      <c r="E26" s="51">
        <f>VLOOKUP(C26,'Active 1'!C$21:E$972,3,FALSE)</f>
        <v>41855.699548678276</v>
      </c>
      <c r="F26" s="5" t="s">
        <v>72</v>
      </c>
      <c r="G26" s="12" t="str">
        <f t="shared" si="4"/>
        <v>56492.5187</v>
      </c>
      <c r="H26" s="10">
        <f t="shared" si="5"/>
        <v>28412.5</v>
      </c>
      <c r="I26" s="52" t="s">
        <v>168</v>
      </c>
      <c r="J26" s="53" t="s">
        <v>169</v>
      </c>
      <c r="K26" s="52" t="s">
        <v>170</v>
      </c>
      <c r="L26" s="52" t="s">
        <v>171</v>
      </c>
      <c r="M26" s="53" t="s">
        <v>93</v>
      </c>
      <c r="N26" s="53" t="s">
        <v>94</v>
      </c>
      <c r="O26" s="54" t="s">
        <v>145</v>
      </c>
      <c r="P26" s="55" t="s">
        <v>157</v>
      </c>
    </row>
    <row r="27" spans="1:16" ht="12.75" customHeight="1" thickBot="1" x14ac:dyDescent="0.25">
      <c r="A27" s="10" t="str">
        <f t="shared" si="0"/>
        <v>BAVM 234 </v>
      </c>
      <c r="B27" s="5" t="str">
        <f t="shared" si="1"/>
        <v>I</v>
      </c>
      <c r="C27" s="10">
        <f t="shared" si="2"/>
        <v>56496.422700000003</v>
      </c>
      <c r="D27" s="12" t="str">
        <f t="shared" si="3"/>
        <v>vis</v>
      </c>
      <c r="E27" s="51">
        <f>VLOOKUP(C27,'Active 1'!C$21:E$972,3,FALSE)</f>
        <v>41866.643399770146</v>
      </c>
      <c r="F27" s="5" t="s">
        <v>72</v>
      </c>
      <c r="G27" s="12" t="str">
        <f t="shared" si="4"/>
        <v>56496.4227</v>
      </c>
      <c r="H27" s="10">
        <f t="shared" si="5"/>
        <v>28420</v>
      </c>
      <c r="I27" s="52" t="s">
        <v>172</v>
      </c>
      <c r="J27" s="53" t="s">
        <v>173</v>
      </c>
      <c r="K27" s="52" t="s">
        <v>174</v>
      </c>
      <c r="L27" s="52" t="s">
        <v>175</v>
      </c>
      <c r="M27" s="53" t="s">
        <v>93</v>
      </c>
      <c r="N27" s="53" t="s">
        <v>94</v>
      </c>
      <c r="O27" s="54" t="s">
        <v>145</v>
      </c>
      <c r="P27" s="55" t="s">
        <v>157</v>
      </c>
    </row>
    <row r="28" spans="1:16" ht="12.75" customHeight="1" thickBot="1" x14ac:dyDescent="0.25">
      <c r="A28" s="10" t="str">
        <f t="shared" si="0"/>
        <v>BAVM 234 </v>
      </c>
      <c r="B28" s="5" t="str">
        <f t="shared" si="1"/>
        <v>I</v>
      </c>
      <c r="C28" s="10">
        <f t="shared" si="2"/>
        <v>56506.438499999997</v>
      </c>
      <c r="D28" s="12" t="str">
        <f t="shared" si="3"/>
        <v>vis</v>
      </c>
      <c r="E28" s="51">
        <f>VLOOKUP(C28,'Active 1'!C$21:E$972,3,FALSE)</f>
        <v>41894.720096431469</v>
      </c>
      <c r="F28" s="5" t="s">
        <v>72</v>
      </c>
      <c r="G28" s="12" t="str">
        <f t="shared" si="4"/>
        <v>56506.4385</v>
      </c>
      <c r="H28" s="10">
        <f t="shared" si="5"/>
        <v>28439</v>
      </c>
      <c r="I28" s="52" t="s">
        <v>176</v>
      </c>
      <c r="J28" s="53" t="s">
        <v>177</v>
      </c>
      <c r="K28" s="52" t="s">
        <v>178</v>
      </c>
      <c r="L28" s="52" t="s">
        <v>179</v>
      </c>
      <c r="M28" s="53" t="s">
        <v>93</v>
      </c>
      <c r="N28" s="53" t="s">
        <v>94</v>
      </c>
      <c r="O28" s="54" t="s">
        <v>145</v>
      </c>
      <c r="P28" s="55" t="s">
        <v>157</v>
      </c>
    </row>
    <row r="29" spans="1:16" ht="12.75" customHeight="1" thickBot="1" x14ac:dyDescent="0.25">
      <c r="A29" s="10" t="str">
        <f t="shared" si="0"/>
        <v>BAVM 239 </v>
      </c>
      <c r="B29" s="5" t="str">
        <f t="shared" si="1"/>
        <v>I</v>
      </c>
      <c r="C29" s="10">
        <f t="shared" si="2"/>
        <v>56827.453600000001</v>
      </c>
      <c r="D29" s="12" t="str">
        <f t="shared" si="3"/>
        <v>vis</v>
      </c>
      <c r="E29" s="51">
        <f>VLOOKUP(C29,'Active 1'!C$21:E$972,3,FALSE)</f>
        <v>42794.6026406526</v>
      </c>
      <c r="F29" s="5" t="s">
        <v>72</v>
      </c>
      <c r="G29" s="12" t="str">
        <f t="shared" si="4"/>
        <v>56827.4536</v>
      </c>
      <c r="H29" s="10">
        <f t="shared" si="5"/>
        <v>29050</v>
      </c>
      <c r="I29" s="52" t="s">
        <v>180</v>
      </c>
      <c r="J29" s="53" t="s">
        <v>181</v>
      </c>
      <c r="K29" s="52" t="s">
        <v>182</v>
      </c>
      <c r="L29" s="52" t="s">
        <v>183</v>
      </c>
      <c r="M29" s="53" t="s">
        <v>93</v>
      </c>
      <c r="N29" s="53" t="s">
        <v>94</v>
      </c>
      <c r="O29" s="54" t="s">
        <v>145</v>
      </c>
      <c r="P29" s="55" t="s">
        <v>184</v>
      </c>
    </row>
    <row r="30" spans="1:16" ht="12.75" customHeight="1" thickBot="1" x14ac:dyDescent="0.25">
      <c r="A30" s="10" t="str">
        <f t="shared" si="0"/>
        <v>BAVM 241 (=IBVS 6157) </v>
      </c>
      <c r="B30" s="5" t="str">
        <f t="shared" si="1"/>
        <v>II</v>
      </c>
      <c r="C30" s="10">
        <f t="shared" si="2"/>
        <v>57133.5262</v>
      </c>
      <c r="D30" s="12" t="str">
        <f t="shared" si="3"/>
        <v>vis</v>
      </c>
      <c r="E30" s="51">
        <f>VLOOKUP(C30,'Active 1'!C$21:E$972,3,FALSE)</f>
        <v>43652.597763014048</v>
      </c>
      <c r="F30" s="5" t="s">
        <v>72</v>
      </c>
      <c r="G30" s="12" t="str">
        <f t="shared" si="4"/>
        <v>57133.5262</v>
      </c>
      <c r="H30" s="10">
        <f t="shared" si="5"/>
        <v>29632.5</v>
      </c>
      <c r="I30" s="52" t="s">
        <v>185</v>
      </c>
      <c r="J30" s="53" t="s">
        <v>186</v>
      </c>
      <c r="K30" s="52" t="s">
        <v>187</v>
      </c>
      <c r="L30" s="52" t="s">
        <v>188</v>
      </c>
      <c r="M30" s="53" t="s">
        <v>93</v>
      </c>
      <c r="N30" s="53" t="s">
        <v>94</v>
      </c>
      <c r="O30" s="54" t="s">
        <v>145</v>
      </c>
      <c r="P30" s="55" t="s">
        <v>189</v>
      </c>
    </row>
    <row r="31" spans="1:16" ht="12.75" customHeight="1" thickBot="1" x14ac:dyDescent="0.25">
      <c r="A31" s="10" t="str">
        <f t="shared" si="0"/>
        <v>BAVM 241 (=IBVS 6157) </v>
      </c>
      <c r="B31" s="5" t="str">
        <f t="shared" si="1"/>
        <v>I</v>
      </c>
      <c r="C31" s="10">
        <f t="shared" si="2"/>
        <v>57158.536800000002</v>
      </c>
      <c r="D31" s="12" t="str">
        <f t="shared" si="3"/>
        <v>vis</v>
      </c>
      <c r="E31" s="51">
        <f>VLOOKUP(C31,'Active 1'!C$21:E$972,3,FALSE)</f>
        <v>43722.708491015619</v>
      </c>
      <c r="F31" s="5" t="s">
        <v>72</v>
      </c>
      <c r="G31" s="12" t="str">
        <f t="shared" si="4"/>
        <v>57158.5368</v>
      </c>
      <c r="H31" s="10">
        <f t="shared" si="5"/>
        <v>29680</v>
      </c>
      <c r="I31" s="52" t="s">
        <v>190</v>
      </c>
      <c r="J31" s="53" t="s">
        <v>191</v>
      </c>
      <c r="K31" s="52" t="s">
        <v>192</v>
      </c>
      <c r="L31" s="52" t="s">
        <v>193</v>
      </c>
      <c r="M31" s="53" t="s">
        <v>93</v>
      </c>
      <c r="N31" s="53" t="s">
        <v>94</v>
      </c>
      <c r="O31" s="54" t="s">
        <v>145</v>
      </c>
      <c r="P31" s="55" t="s">
        <v>189</v>
      </c>
    </row>
    <row r="32" spans="1:16" ht="12.75" customHeight="1" thickBot="1" x14ac:dyDescent="0.25">
      <c r="A32" s="10" t="str">
        <f t="shared" si="0"/>
        <v> BBS 128 </v>
      </c>
      <c r="B32" s="5" t="str">
        <f t="shared" si="1"/>
        <v>II</v>
      </c>
      <c r="C32" s="10">
        <f t="shared" si="2"/>
        <v>52483.463000000003</v>
      </c>
      <c r="D32" s="12" t="str">
        <f t="shared" si="3"/>
        <v>vis</v>
      </c>
      <c r="E32" s="51">
        <f>VLOOKUP(C32,'Active 1'!C$21:E$972,3,FALSE)</f>
        <v>30617.352058980192</v>
      </c>
      <c r="F32" s="5" t="s">
        <v>72</v>
      </c>
      <c r="G32" s="12" t="str">
        <f t="shared" si="4"/>
        <v>52483.463</v>
      </c>
      <c r="H32" s="10">
        <f t="shared" si="5"/>
        <v>20783.5</v>
      </c>
      <c r="I32" s="52" t="s">
        <v>97</v>
      </c>
      <c r="J32" s="53" t="s">
        <v>98</v>
      </c>
      <c r="K32" s="52">
        <v>20783.5</v>
      </c>
      <c r="L32" s="52" t="s">
        <v>99</v>
      </c>
      <c r="M32" s="53" t="s">
        <v>78</v>
      </c>
      <c r="N32" s="53" t="s">
        <v>79</v>
      </c>
      <c r="O32" s="54" t="s">
        <v>85</v>
      </c>
      <c r="P32" s="54" t="s">
        <v>100</v>
      </c>
    </row>
    <row r="33" spans="1:16" ht="12.75" customHeight="1" thickBot="1" x14ac:dyDescent="0.25">
      <c r="A33" s="10" t="str">
        <f t="shared" si="0"/>
        <v>OEJV 0094 </v>
      </c>
      <c r="B33" s="5" t="str">
        <f t="shared" si="1"/>
        <v>I</v>
      </c>
      <c r="C33" s="10">
        <f t="shared" si="2"/>
        <v>54584.354599999999</v>
      </c>
      <c r="D33" s="12" t="str">
        <f t="shared" si="3"/>
        <v>vis</v>
      </c>
      <c r="E33" s="51" t="e">
        <f>VLOOKUP(C33,'Active 1'!C$21:E$972,3,FALSE)</f>
        <v>#N/A</v>
      </c>
      <c r="F33" s="5" t="s">
        <v>72</v>
      </c>
      <c r="G33" s="12" t="str">
        <f t="shared" si="4"/>
        <v>54584.3546</v>
      </c>
      <c r="H33" s="10">
        <f t="shared" si="5"/>
        <v>24781</v>
      </c>
      <c r="I33" s="52" t="s">
        <v>124</v>
      </c>
      <c r="J33" s="53" t="s">
        <v>125</v>
      </c>
      <c r="K33" s="52" t="s">
        <v>126</v>
      </c>
      <c r="L33" s="52" t="s">
        <v>127</v>
      </c>
      <c r="M33" s="53" t="s">
        <v>93</v>
      </c>
      <c r="N33" s="53" t="s">
        <v>109</v>
      </c>
      <c r="O33" s="54" t="s">
        <v>128</v>
      </c>
      <c r="P33" s="55" t="s">
        <v>129</v>
      </c>
    </row>
    <row r="34" spans="1:16" x14ac:dyDescent="0.2">
      <c r="B34" s="5"/>
      <c r="E34" s="51"/>
      <c r="F34" s="5"/>
    </row>
    <row r="35" spans="1:16" x14ac:dyDescent="0.2">
      <c r="B35" s="5"/>
      <c r="E35" s="51"/>
      <c r="F35" s="5"/>
    </row>
    <row r="36" spans="1:16" x14ac:dyDescent="0.2">
      <c r="B36" s="5"/>
      <c r="E36" s="51"/>
      <c r="F36" s="5"/>
    </row>
    <row r="37" spans="1:16" x14ac:dyDescent="0.2">
      <c r="B37" s="5"/>
      <c r="E37" s="51"/>
      <c r="F37" s="5"/>
    </row>
    <row r="38" spans="1:16" x14ac:dyDescent="0.2">
      <c r="B38" s="5"/>
      <c r="E38" s="51"/>
      <c r="F38" s="5"/>
    </row>
    <row r="39" spans="1:16" x14ac:dyDescent="0.2">
      <c r="B39" s="5"/>
      <c r="E39" s="51"/>
      <c r="F39" s="5"/>
    </row>
    <row r="40" spans="1:16" x14ac:dyDescent="0.2">
      <c r="B40" s="5"/>
      <c r="E40" s="51"/>
      <c r="F40" s="5"/>
    </row>
    <row r="41" spans="1:16" x14ac:dyDescent="0.2">
      <c r="B41" s="5"/>
      <c r="E41" s="51"/>
      <c r="F41" s="5"/>
    </row>
    <row r="42" spans="1:16" x14ac:dyDescent="0.2">
      <c r="B42" s="5"/>
      <c r="E42" s="51"/>
      <c r="F42" s="5"/>
    </row>
    <row r="43" spans="1:16" x14ac:dyDescent="0.2">
      <c r="B43" s="5"/>
      <c r="E43" s="51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</sheetData>
  <phoneticPr fontId="8" type="noConversion"/>
  <hyperlinks>
    <hyperlink ref="P11" r:id="rId1" display="http://www.konkoly.hu/cgi-bin/IBVS?4888"/>
    <hyperlink ref="P13" r:id="rId2" display="http://www.konkoly.hu/cgi-bin/IBVS?4888"/>
    <hyperlink ref="P14" r:id="rId3" display="http://var.astro.cz/oejv/issues/oejv0074.pdf"/>
    <hyperlink ref="P15" r:id="rId4" display="http://www.konkoly.hu/cgi-bin/IBVS?5603"/>
    <hyperlink ref="P16" r:id="rId5" display="http://www.konkoly.hu/cgi-bin/IBVS?5760"/>
    <hyperlink ref="P17" r:id="rId6" display="http://www.bav-astro.de/sfs/BAVM_link.php?BAVMnr=178"/>
    <hyperlink ref="P18" r:id="rId7" display="http://www.konkoly.hu/cgi-bin/IBVS?5837"/>
    <hyperlink ref="P33" r:id="rId8" display="http://var.astro.cz/oejv/issues/oejv0094.pdf"/>
    <hyperlink ref="P19" r:id="rId9" display="http://var.astro.cz/oejv/issues/oejv0172.pdf"/>
    <hyperlink ref="P20" r:id="rId10" display="http://www.konkoly.hu/cgi-bin/IBVS?5945"/>
    <hyperlink ref="P21" r:id="rId11" display="http://www.bav-astro.de/sfs/BAVM_link.php?BAVMnr=220"/>
    <hyperlink ref="P22" r:id="rId12" display="http://www.bav-astro.de/sfs/BAVM_link.php?BAVMnr=228"/>
    <hyperlink ref="P23" r:id="rId13" display="http://www.bav-astro.de/sfs/BAVM_link.php?BAVMnr=234"/>
    <hyperlink ref="P24" r:id="rId14" display="http://www.bav-astro.de/sfs/BAVM_link.php?BAVMnr=232"/>
    <hyperlink ref="P25" r:id="rId15" display="http://www.bav-astro.de/sfs/BAVM_link.php?BAVMnr=232"/>
    <hyperlink ref="P26" r:id="rId16" display="http://www.bav-astro.de/sfs/BAVM_link.php?BAVMnr=234"/>
    <hyperlink ref="P27" r:id="rId17" display="http://www.bav-astro.de/sfs/BAVM_link.php?BAVMnr=234"/>
    <hyperlink ref="P28" r:id="rId18" display="http://www.bav-astro.de/sfs/BAVM_link.php?BAVMnr=234"/>
    <hyperlink ref="P29" r:id="rId19" display="http://www.bav-astro.de/sfs/BAVM_link.php?BAVMnr=239"/>
    <hyperlink ref="P30" r:id="rId20" display="http://www.bav-astro.de/sfs/BAVM_link.php?BAVMnr=241"/>
    <hyperlink ref="P31" r:id="rId2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4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2023-01-16T03:44:22Z</dcterms:modified>
</cp:coreProperties>
</file>