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A598361-591D-465E-9FB6-1A28CAE594DF}" xr6:coauthVersionLast="47" xr6:coauthVersionMax="47" xr10:uidLastSave="{00000000-0000-0000-0000-000000000000}"/>
  <bookViews>
    <workbookView xWindow="12990" yWindow="118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K48" i="1" s="1"/>
  <c r="Q48" i="1"/>
  <c r="Q46" i="1"/>
  <c r="Q47" i="1"/>
  <c r="D9" i="1"/>
  <c r="C9" i="1"/>
  <c r="Q36" i="1"/>
  <c r="Q37" i="1"/>
  <c r="Q38" i="1"/>
  <c r="Q39" i="1"/>
  <c r="Q40" i="1"/>
  <c r="Q41" i="1"/>
  <c r="Q42" i="1"/>
  <c r="Q43" i="1"/>
  <c r="Q44" i="1"/>
  <c r="Q23" i="1"/>
  <c r="Q45" i="1"/>
  <c r="G23" i="2"/>
  <c r="C23" i="2"/>
  <c r="G21" i="2"/>
  <c r="C21" i="2"/>
  <c r="G20" i="2"/>
  <c r="C20" i="2"/>
  <c r="E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G12" i="2"/>
  <c r="C12" i="2"/>
  <c r="G22" i="2"/>
  <c r="C22" i="2"/>
  <c r="G11" i="2"/>
  <c r="C11" i="2"/>
  <c r="H23" i="2"/>
  <c r="D23" i="2"/>
  <c r="B23" i="2"/>
  <c r="A23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22" i="2"/>
  <c r="B22" i="2"/>
  <c r="D22" i="2"/>
  <c r="A22" i="2"/>
  <c r="H11" i="2"/>
  <c r="D11" i="2"/>
  <c r="B11" i="2"/>
  <c r="A11" i="2"/>
  <c r="Q35" i="1"/>
  <c r="Q21" i="1"/>
  <c r="Q22" i="1"/>
  <c r="Q33" i="1"/>
  <c r="Q34" i="1"/>
  <c r="F16" i="1"/>
  <c r="F17" i="1" s="1"/>
  <c r="C17" i="1"/>
  <c r="Q32" i="1"/>
  <c r="Q29" i="1"/>
  <c r="Q31" i="1"/>
  <c r="Q27" i="1"/>
  <c r="Q26" i="1"/>
  <c r="Q28" i="1"/>
  <c r="Q24" i="1"/>
  <c r="Q30" i="1"/>
  <c r="C7" i="1"/>
  <c r="C8" i="1"/>
  <c r="Q25" i="1"/>
  <c r="E47" i="1"/>
  <c r="F47" i="1"/>
  <c r="E33" i="1"/>
  <c r="F33" i="1"/>
  <c r="G33" i="1"/>
  <c r="J33" i="1"/>
  <c r="E32" i="1"/>
  <c r="F32" i="1"/>
  <c r="E44" i="1"/>
  <c r="F44" i="1"/>
  <c r="E27" i="1"/>
  <c r="F27" i="1"/>
  <c r="G27" i="1"/>
  <c r="K27" i="1"/>
  <c r="E43" i="1"/>
  <c r="F43" i="1"/>
  <c r="G43" i="1"/>
  <c r="K43" i="1"/>
  <c r="E45" i="1"/>
  <c r="F45" i="1"/>
  <c r="E34" i="1"/>
  <c r="F34" i="1"/>
  <c r="E26" i="1"/>
  <c r="F26" i="1"/>
  <c r="E42" i="1"/>
  <c r="F42" i="1"/>
  <c r="E19" i="2"/>
  <c r="E13" i="2"/>
  <c r="E14" i="2"/>
  <c r="E41" i="1"/>
  <c r="F41" i="1"/>
  <c r="G41" i="1"/>
  <c r="K41" i="1"/>
  <c r="E30" i="1"/>
  <c r="G39" i="1"/>
  <c r="K39" i="1"/>
  <c r="E35" i="1"/>
  <c r="E23" i="2"/>
  <c r="E24" i="1"/>
  <c r="E46" i="1"/>
  <c r="F46" i="1"/>
  <c r="G46" i="1"/>
  <c r="K46" i="1"/>
  <c r="G26" i="1"/>
  <c r="J26" i="1"/>
  <c r="G34" i="1"/>
  <c r="J34" i="1"/>
  <c r="G45" i="1"/>
  <c r="J45" i="1"/>
  <c r="E39" i="1"/>
  <c r="F39" i="1"/>
  <c r="E23" i="1"/>
  <c r="F23" i="1"/>
  <c r="E31" i="1"/>
  <c r="F31" i="1"/>
  <c r="G31" i="1"/>
  <c r="K31" i="1"/>
  <c r="G42" i="1"/>
  <c r="K42" i="1"/>
  <c r="G44" i="1"/>
  <c r="K44" i="1"/>
  <c r="G32" i="1"/>
  <c r="K32" i="1"/>
  <c r="E37" i="1"/>
  <c r="F37" i="1"/>
  <c r="G37" i="1"/>
  <c r="K37" i="1"/>
  <c r="E21" i="1"/>
  <c r="E29" i="1"/>
  <c r="F29" i="1"/>
  <c r="G29" i="1"/>
  <c r="J29" i="1"/>
  <c r="G47" i="1"/>
  <c r="K47" i="1"/>
  <c r="E38" i="1"/>
  <c r="F38" i="1"/>
  <c r="G38" i="1"/>
  <c r="K38" i="1"/>
  <c r="E25" i="1"/>
  <c r="F25" i="1"/>
  <c r="G25" i="1"/>
  <c r="K25" i="1"/>
  <c r="E28" i="1"/>
  <c r="E36" i="1"/>
  <c r="F36" i="1"/>
  <c r="G36" i="1"/>
  <c r="K36" i="1"/>
  <c r="E40" i="1"/>
  <c r="F40" i="1"/>
  <c r="G40" i="1"/>
  <c r="K40" i="1"/>
  <c r="E22" i="1"/>
  <c r="F22" i="1"/>
  <c r="G22" i="1"/>
  <c r="G23" i="1"/>
  <c r="J23" i="1"/>
  <c r="J22" i="1"/>
  <c r="E17" i="2"/>
  <c r="F30" i="1"/>
  <c r="G30" i="1"/>
  <c r="K30" i="1"/>
  <c r="F24" i="1"/>
  <c r="G24" i="1"/>
  <c r="E12" i="2"/>
  <c r="E11" i="2"/>
  <c r="F21" i="1"/>
  <c r="G21" i="1"/>
  <c r="J21" i="1"/>
  <c r="E16" i="2"/>
  <c r="F28" i="1"/>
  <c r="G28" i="1"/>
  <c r="J28" i="1"/>
  <c r="E15" i="2"/>
  <c r="E21" i="2"/>
  <c r="F35" i="1"/>
  <c r="G35" i="1"/>
  <c r="J35" i="1"/>
  <c r="E22" i="2"/>
  <c r="J24" i="1"/>
  <c r="C11" i="1"/>
  <c r="C12" i="1"/>
  <c r="O48" i="1" l="1"/>
  <c r="C16" i="1"/>
  <c r="D18" i="1" s="1"/>
  <c r="O30" i="1"/>
  <c r="O21" i="1"/>
  <c r="O34" i="1"/>
  <c r="O29" i="1"/>
  <c r="O42" i="1"/>
  <c r="O46" i="1"/>
  <c r="O23" i="1"/>
  <c r="O38" i="1"/>
  <c r="O26" i="1"/>
  <c r="O24" i="1"/>
  <c r="O44" i="1"/>
  <c r="O33" i="1"/>
  <c r="O22" i="1"/>
  <c r="C15" i="1"/>
  <c r="O37" i="1"/>
  <c r="O28" i="1"/>
  <c r="O35" i="1"/>
  <c r="O25" i="1"/>
  <c r="O45" i="1"/>
  <c r="O41" i="1"/>
  <c r="O39" i="1"/>
  <c r="O47" i="1"/>
  <c r="O43" i="1"/>
  <c r="O27" i="1"/>
  <c r="O32" i="1"/>
  <c r="O31" i="1"/>
  <c r="O40" i="1"/>
  <c r="O36" i="1"/>
  <c r="C18" i="1" l="1"/>
  <c r="F18" i="1"/>
  <c r="F19" i="1" s="1"/>
</calcChain>
</file>

<file path=xl/sharedStrings.xml><?xml version="1.0" encoding="utf-8"?>
<sst xmlns="http://schemas.openxmlformats.org/spreadsheetml/2006/main" count="248" uniqueCount="131">
  <si>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</si>
  <si>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</si>
  <si>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</si>
  <si>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</si>
  <si>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</si>
  <si>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</si>
  <si>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</si>
  <si>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</si>
  <si>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</si>
  <si>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</si>
  <si>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</si>
  <si>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</si>
  <si>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</si>
  <si>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</si>
  <si>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</si>
  <si>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</si>
  <si>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</si>
  <si>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</si>
  <si>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</si>
  <si>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</si>
  <si>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</si>
  <si>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</si>
  <si>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</si>
  <si>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</si>
  <si>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</si>
  <si>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</si>
  <si>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</si>
  <si>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</si>
  <si>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</si>
  <si>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</si>
  <si>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</si>
  <si>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</si>
  <si>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</si>
  <si>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</si>
  <si>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EW        </t>
  </si>
  <si>
    <t>II</t>
  </si>
  <si>
    <t>V0899 Her / GSC 2584-1769</t>
  </si>
  <si>
    <t>IBVS 5603</t>
  </si>
  <si>
    <t>IBVS 5606</t>
  </si>
  <si>
    <t>IBVS 5623</t>
  </si>
  <si>
    <t>IBVS 5870</t>
  </si>
  <si>
    <t>IBVS 5938</t>
  </si>
  <si>
    <t>Add cycle</t>
  </si>
  <si>
    <t>Old Cycle</t>
  </si>
  <si>
    <t>IBVS 5034</t>
  </si>
  <si>
    <t>??</t>
  </si>
  <si>
    <t>IBVS 5918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</si>
  <si>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</si>
  <si>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</si>
  <si>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</si>
  <si>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</si>
  <si>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</si>
  <si>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</si>
  <si>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</si>
  <si>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</si>
  <si>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</si>
  <si>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</si>
  <si>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</si>
  <si>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</si>
  <si>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2448500.136 </t>
  </si>
  <si>
    <t> 31.08.1991 15:15 </t>
  </si>
  <si>
    <t> -0.035 </t>
  </si>
  <si>
    <t>E </t>
  </si>
  <si>
    <t>?</t>
  </si>
  <si>
    <t> HIPPARCOS </t>
  </si>
  <si>
    <t> ESA 1998 </t>
  </si>
  <si>
    <t>2451708.4152 </t>
  </si>
  <si>
    <t> 12.06.2000 21:57 </t>
  </si>
  <si>
    <t> -0.0029 </t>
  </si>
  <si>
    <t> S.Özdemir et al. </t>
  </si>
  <si>
    <t>IBVS 5034 </t>
  </si>
  <si>
    <t>2452438.5093 </t>
  </si>
  <si>
    <t> 13.06.2002 00:13 </t>
  </si>
  <si>
    <t> -0.0035 </t>
  </si>
  <si>
    <t> M.Drozdz et al. </t>
  </si>
  <si>
    <t>IBVS 5623 </t>
  </si>
  <si>
    <t>2453098.4878 </t>
  </si>
  <si>
    <t> 02.04.2004 23:42 </t>
  </si>
  <si>
    <t> 0.0047 </t>
  </si>
  <si>
    <t> C.H.Porowski </t>
  </si>
  <si>
    <t>IBVS 5606 </t>
  </si>
  <si>
    <t>2453099.7496 </t>
  </si>
  <si>
    <t> 04.04.2004 05:59 </t>
  </si>
  <si>
    <t> 0.0030 </t>
  </si>
  <si>
    <t> S.Dvorak </t>
  </si>
  <si>
    <t>IBVS 5603 </t>
  </si>
  <si>
    <t>2453255.3646 </t>
  </si>
  <si>
    <t> 06.09.2004 20:45 </t>
  </si>
  <si>
    <t>2453266.3160 </t>
  </si>
  <si>
    <t> 17.09.2004 19:35 </t>
  </si>
  <si>
    <t> -0.0025 </t>
  </si>
  <si>
    <t>2454632.800 </t>
  </si>
  <si>
    <t> 15.06.2008 07:12 </t>
  </si>
  <si>
    <t> 0.002 </t>
  </si>
  <si>
    <t>C </t>
  </si>
  <si>
    <t>IBVS 5870 </t>
  </si>
  <si>
    <t>2454899.8229 </t>
  </si>
  <si>
    <t> 09.03.2009 07:44 </t>
  </si>
  <si>
    <t> 0.0043 </t>
  </si>
  <si>
    <t>IBVS 5938 </t>
  </si>
  <si>
    <t>2454931.3946 </t>
  </si>
  <si>
    <t> 09.04.2009 21:28 </t>
  </si>
  <si>
    <t> -0.0116 </t>
  </si>
  <si>
    <t>-I</t>
  </si>
  <si>
    <t> P.Frank </t>
  </si>
  <si>
    <t>BAVM 209 </t>
  </si>
  <si>
    <t>2454931.6258 </t>
  </si>
  <si>
    <t> 10.04.2009 03:01 </t>
  </si>
  <si>
    <t>5772.5</t>
  </si>
  <si>
    <t> 0.0090 </t>
  </si>
  <si>
    <t>2455600.6435 </t>
  </si>
  <si>
    <t> 08.02.2011 03:26 </t>
  </si>
  <si>
    <t>7361</t>
  </si>
  <si>
    <t> 0.0014 </t>
  </si>
  <si>
    <t>o</t>
  </si>
  <si>
    <t> U.Schmidt </t>
  </si>
  <si>
    <t>BAVM 215 </t>
  </si>
  <si>
    <t>2457125.4787 </t>
  </si>
  <si>
    <t> 12.04.2015 23:29 </t>
  </si>
  <si>
    <t>10981.5</t>
  </si>
  <si>
    <t> -0.0022 </t>
  </si>
  <si>
    <t>BAVM 241 (=IBVS 6157) </t>
  </si>
  <si>
    <t>IBVS 6157</t>
  </si>
  <si>
    <t>IBVS 6165</t>
  </si>
  <si>
    <t>JAVSO..44…69</t>
  </si>
  <si>
    <t>JAVSO..45..121</t>
  </si>
  <si>
    <t>s5</t>
  </si>
  <si>
    <t>s6</t>
  </si>
  <si>
    <t>s7</t>
  </si>
  <si>
    <t>GCVS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</si>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</sst>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6" fillId="0" borderId="0" xfId="0" applyFon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V899 Her - O-C Diagr.</a:t>
            </a:r>
          </a:p>
        </c:rich>
      </c:tx>
      <c:layout>
        <c:manualLayout>
          <c:xMode val="edge"/>
          <c:yMode val="edge"/>
          <c:x val="0.37593984962406013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Active!$D$21:$D$218</c:f>
                <c:numCache>
                  <c:formatCode>General</c:formatCode>
                  <c:ptCount val="19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Active!$D$21:$D$218</c:f>
                <c:numCache>
                  <c:formatCode>General</c:formatCode>
                  <c:ptCount val="19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Active!$H$21:$H$978</c:f>
              <c:numCache>
                <c:formatCode>General</c:formatCode>
                <c:ptCount val="95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2-4102-B97C-F40CA170B6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Active!$I$21:$I$978</c:f>
              <c:numCache>
                <c:formatCode>General</c:formatCode>
                <c:ptCount val="95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2-4102-B97C-F40CA170B6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Active!$J$21:$J$978</c:f>
              <c:numCache>
                <c:formatCode>General</c:formatCode>
                <c:ptCount val="958"/>
                <c:pt idx="0">
                  <c:v>-3.4836000006180257E-2</c:v>
                </c:pt>
                <c:pt idx="1">
                  <c:v>-3.0760000008740462E-3</c:v>
                </c:pt>
                <c:pt idx="2">
                  <c:v>-2.8759999986505136E-3</c:v>
                </c:pt>
                <c:pt idx="3">
                  <c:v>-3.5040000002481975E-3</c:v>
                </c:pt>
                <c:pt idx="5">
                  <c:v>4.7400000039488077E-3</c:v>
                </c:pt>
                <c:pt idx="7">
                  <c:v>-3.5399999978835694E-3</c:v>
                </c:pt>
                <c:pt idx="8">
                  <c:v>-2.5080000050365925E-3</c:v>
                </c:pt>
                <c:pt idx="12">
                  <c:v>-1.1596000003919471E-2</c:v>
                </c:pt>
                <c:pt idx="13">
                  <c:v>9.01999999769032E-3</c:v>
                </c:pt>
                <c:pt idx="14">
                  <c:v>1.3519999993150122E-3</c:v>
                </c:pt>
                <c:pt idx="24">
                  <c:v>-2.1919999999227002E-3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2-4102-B97C-F40CA170B6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Active!$K$21:$K$978</c:f>
              <c:numCache>
                <c:formatCode>General</c:formatCode>
                <c:ptCount val="958"/>
                <c:pt idx="4">
                  <c:v>0</c:v>
                </c:pt>
                <c:pt idx="6">
                  <c:v>3.0360000018845312E-3</c:v>
                </c:pt>
                <c:pt idx="9">
                  <c:v>1.9160000010742806E-3</c:v>
                </c:pt>
                <c:pt idx="10">
                  <c:v>1.9160000010742806E-3</c:v>
                </c:pt>
                <c:pt idx="11">
                  <c:v>4.3040000018663704E-3</c:v>
                </c:pt>
                <c:pt idx="15">
                  <c:v>3.3319999929517508E-3</c:v>
                </c:pt>
                <c:pt idx="16">
                  <c:v>3.2120000032591633E-3</c:v>
                </c:pt>
                <c:pt idx="17">
                  <c:v>5.5760000032023527E-3</c:v>
                </c:pt>
                <c:pt idx="18">
                  <c:v>3.9560000004712492E-3</c:v>
                </c:pt>
                <c:pt idx="19">
                  <c:v>4.7359999953187071E-3</c:v>
                </c:pt>
                <c:pt idx="20">
                  <c:v>-1.6839999952935614E-3</c:v>
                </c:pt>
                <c:pt idx="21">
                  <c:v>1.2759999954141676E-3</c:v>
                </c:pt>
                <c:pt idx="22">
                  <c:v>6.1999999888939783E-4</c:v>
                </c:pt>
                <c:pt idx="23">
                  <c:v>6.2280000056489371E-3</c:v>
                </c:pt>
                <c:pt idx="25">
                  <c:v>-3.9600000309292227E-4</c:v>
                </c:pt>
                <c:pt idx="26">
                  <c:v>-4.3600000208243728E-4</c:v>
                </c:pt>
                <c:pt idx="27">
                  <c:v>-1.9295999998576008E-2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2-4102-B97C-F40CA170B6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Active!$L$21:$L$978</c:f>
              <c:numCache>
                <c:formatCode>General</c:formatCode>
                <c:ptCount val="95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2-4102-B97C-F40CA170B6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Active!$M$21:$M$978</c:f>
              <c:numCache>
                <c:formatCode>General</c:formatCode>
                <c:ptCount val="95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2-4102-B97C-F40CA170B6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plus>
            <c:minus>
              <c:numRef>
                <c:f>Active!$D$21:$D$978</c:f>
                <c:numCache>
                  <c:formatCode>General</c:formatCode>
                  <c:ptCount val="958"/>
                  <c:pt idx="0">
                    <c:v>0</c:v>
                  </c:pt>
                  <c:pt idx="1">
                    <c:v>2.5999999999999999E-2</c:v>
                  </c:pt>
                  <c:pt idx="2">
                    <c:v>0</c:v>
                  </c:pt>
                  <c:pt idx="3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1.9E-3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Active!$N$21:$N$978</c:f>
              <c:numCache>
                <c:formatCode>General</c:formatCode>
                <c:ptCount val="95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B2-4102-B97C-F40CA170B6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Active!$F$21:$F$978</c:f>
              <c:numCache>
                <c:formatCode>General</c:formatCode>
                <c:ptCount val="958"/>
                <c:pt idx="0">
                  <c:v>-9498</c:v>
                </c:pt>
                <c:pt idx="1">
                  <c:v>-1880.5</c:v>
                </c:pt>
                <c:pt idx="2">
                  <c:v>-1880.5</c:v>
                </c:pt>
                <c:pt idx="3">
                  <c:v>-147</c:v>
                </c:pt>
                <c:pt idx="4">
                  <c:v>0</c:v>
                </c:pt>
                <c:pt idx="5">
                  <c:v>1420</c:v>
                </c:pt>
                <c:pt idx="6">
                  <c:v>1423</c:v>
                </c:pt>
                <c:pt idx="7">
                  <c:v>1792.5</c:v>
                </c:pt>
                <c:pt idx="8">
                  <c:v>1818.5</c:v>
                </c:pt>
                <c:pt idx="9">
                  <c:v>5063</c:v>
                </c:pt>
                <c:pt idx="10">
                  <c:v>5063</c:v>
                </c:pt>
                <c:pt idx="11">
                  <c:v>5697</c:v>
                </c:pt>
                <c:pt idx="12">
                  <c:v>5772</c:v>
                </c:pt>
                <c:pt idx="13">
                  <c:v>5772.5</c:v>
                </c:pt>
                <c:pt idx="14">
                  <c:v>7361</c:v>
                </c:pt>
                <c:pt idx="15">
                  <c:v>10051</c:v>
                </c:pt>
                <c:pt idx="16">
                  <c:v>10053.5</c:v>
                </c:pt>
                <c:pt idx="17">
                  <c:v>10055.5</c:v>
                </c:pt>
                <c:pt idx="18">
                  <c:v>10058</c:v>
                </c:pt>
                <c:pt idx="19">
                  <c:v>10060.5</c:v>
                </c:pt>
                <c:pt idx="20">
                  <c:v>10063</c:v>
                </c:pt>
                <c:pt idx="21">
                  <c:v>10105.5</c:v>
                </c:pt>
                <c:pt idx="22">
                  <c:v>10110</c:v>
                </c:pt>
                <c:pt idx="23">
                  <c:v>10129</c:v>
                </c:pt>
                <c:pt idx="24">
                  <c:v>10981.5</c:v>
                </c:pt>
                <c:pt idx="25">
                  <c:v>11222</c:v>
                </c:pt>
                <c:pt idx="26">
                  <c:v>11977</c:v>
                </c:pt>
                <c:pt idx="27">
                  <c:v>16972</c:v>
                </c:pt>
              </c:numCache>
            </c:numRef>
          </c:xVal>
          <c:yVal>
            <c:numRef>
              <c:f>Active!$O$21:$O$978</c:f>
              <c:numCache>
                <c:formatCode>General</c:formatCode>
                <c:ptCount val="958"/>
                <c:pt idx="0">
                  <c:v>1.7786291298723439E-3</c:v>
                </c:pt>
                <c:pt idx="1">
                  <c:v>1.0107389709251762E-3</c:v>
                </c:pt>
                <c:pt idx="2">
                  <c:v>1.0107389709251762E-3</c:v>
                </c:pt>
                <c:pt idx="3">
                  <c:v>8.3599166662128184E-4</c:v>
                </c:pt>
                <c:pt idx="4">
                  <c:v>8.2117317586115931E-4</c:v>
                </c:pt>
                <c:pt idx="5">
                  <c:v>6.7802857123956716E-4</c:v>
                </c:pt>
                <c:pt idx="6">
                  <c:v>6.7772615306078911E-4</c:v>
                </c:pt>
                <c:pt idx="7">
                  <c:v>6.404783140412974E-4</c:v>
                </c:pt>
                <c:pt idx="8">
                  <c:v>6.3785735649188801E-4</c:v>
                </c:pt>
                <c:pt idx="9">
                  <c:v>3.1079209614346846E-4</c:v>
                </c:pt>
                <c:pt idx="10">
                  <c:v>3.1079209614346846E-4</c:v>
                </c:pt>
                <c:pt idx="11">
                  <c:v>2.4688105436171544E-4</c:v>
                </c:pt>
                <c:pt idx="12">
                  <c:v>2.393205998922651E-4</c:v>
                </c:pt>
                <c:pt idx="13">
                  <c:v>2.392701968624688E-4</c:v>
                </c:pt>
                <c:pt idx="14">
                  <c:v>7.9139771199511683E-5</c:v>
                </c:pt>
                <c:pt idx="15">
                  <c:v>-1.9202852910477205E-4</c:v>
                </c:pt>
                <c:pt idx="16">
                  <c:v>-1.922805442537538E-4</c:v>
                </c:pt>
                <c:pt idx="17">
                  <c:v>-1.9248215637293902E-4</c:v>
                </c:pt>
                <c:pt idx="18">
                  <c:v>-1.9273417152192076E-4</c:v>
                </c:pt>
                <c:pt idx="19">
                  <c:v>-1.9298618667090229E-4</c:v>
                </c:pt>
                <c:pt idx="20">
                  <c:v>-1.9323820181988403E-4</c:v>
                </c:pt>
                <c:pt idx="21">
                  <c:v>-1.9752245935257258E-4</c:v>
                </c:pt>
                <c:pt idx="22">
                  <c:v>-1.9797608662073954E-4</c:v>
                </c:pt>
                <c:pt idx="23">
                  <c:v>-1.9989140175300023E-4</c:v>
                </c:pt>
                <c:pt idx="24">
                  <c:v>-2.8582856755575187E-4</c:v>
                </c:pt>
                <c:pt idx="25">
                  <c:v>-3.1007242488778923E-4</c:v>
                </c:pt>
                <c:pt idx="26">
                  <c:v>-3.8618099988025549E-4</c:v>
                </c:pt>
                <c:pt idx="27">
                  <c:v>-8.8970726754564471E-4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B2-4102-B97C-F40CA170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1688"/>
        <c:axId val="1"/>
      </c:scatterChart>
      <c:valAx>
        <c:axId val="837891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1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74130865218"/>
          <c:w val="0.66766917293233097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77A7AF52-F5FB-7331-B39A-D39F6CF3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38" TargetMode="External"/><Relationship Id="rId3" Type="http://schemas.openxmlformats.org/officeDocument/2006/relationships/hyperlink" Target="http://www.konkoly.hu/cgi-bin/IBVS?5606" TargetMode="External"/><Relationship Id="rId7" Type="http://schemas.openxmlformats.org/officeDocument/2006/relationships/hyperlink" Target="http://www.konkoly.hu/cgi-bin/IBVS?5870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623" TargetMode="External"/><Relationship Id="rId1" Type="http://schemas.openxmlformats.org/officeDocument/2006/relationships/hyperlink" Target="http://www.konkoly.hu/cgi-bin/IBVS?5034" TargetMode="External"/><Relationship Id="rId6" Type="http://schemas.openxmlformats.org/officeDocument/2006/relationships/hyperlink" Target="http://www.konkoly.hu/cgi-bin/IBVS?5606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konkoly.hu/cgi-bin/IBVS?5606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19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52500.3076</v>
      </c>
      <c r="G1" s="3">
        <v>0.34458678999999998</v>
      </c>
      <c r="H1" s="3" t="s">
        <v>34</v>
      </c>
    </row>
    <row r="2" spans="1:8" x14ac:dyDescent="0.2">
      <c r="A2" t="s">
        <v>22</v>
      </c>
      <c r="B2" t="s">
        <v>34</v>
      </c>
      <c r="C2" s="3"/>
      <c r="D2" s="3"/>
    </row>
    <row r="3" spans="1:8" ht="13.5" thickBot="1" x14ac:dyDescent="0.25">
      <c r="C3" s="29" t="s">
        <v>31</v>
      </c>
    </row>
    <row r="4" spans="1:8" ht="14.25" thickTop="1" thickBot="1" x14ac:dyDescent="0.25">
      <c r="A4" s="5" t="s">
        <v>33</v>
      </c>
      <c r="C4" s="8">
        <v>52500.424500000001</v>
      </c>
      <c r="D4" s="9">
        <v>0.42116799999999999</v>
      </c>
    </row>
    <row r="5" spans="1:8" ht="13.5" thickTop="1" x14ac:dyDescent="0.2">
      <c r="A5" s="11" t="s">
        <v>24</v>
      </c>
      <c r="B5" s="12"/>
      <c r="C5" s="13">
        <v>-9.5</v>
      </c>
      <c r="D5" s="12" t="s">
        <v>25</v>
      </c>
      <c r="E5" s="12"/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52500.424500000001</v>
      </c>
      <c r="D7" t="s">
        <v>129</v>
      </c>
    </row>
    <row r="8" spans="1:8" x14ac:dyDescent="0.2">
      <c r="A8" t="s">
        <v>2</v>
      </c>
      <c r="C8">
        <f>D4</f>
        <v>0.42116799999999999</v>
      </c>
      <c r="D8" s="28"/>
    </row>
    <row r="9" spans="1:8" x14ac:dyDescent="0.2">
      <c r="A9" s="26" t="s">
        <v>29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INTERCEPT(INDIRECT($D$9):G992,INDIRECT($C$9):F992)</f>
        <v>8.2117317586115931E-4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SLOPE(INDIRECT($D$9):G992,INDIRECT($C$9):F992)</f>
        <v>-1.0080605959267051E-7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(C7+C11)+(C8+C12)*INT(MAX(F21:F3533))</f>
        <v>59648.486906292732</v>
      </c>
      <c r="E15" s="16" t="s">
        <v>42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0.42116789919394038</v>
      </c>
      <c r="E16" s="16" t="s">
        <v>26</v>
      </c>
      <c r="F16" s="17">
        <f ca="1">NOW()+15018.5+$C$5/24</f>
        <v>59960.705026504627</v>
      </c>
    </row>
    <row r="17" spans="1:18" ht="13.5" thickBot="1" x14ac:dyDescent="0.25">
      <c r="A17" s="16" t="s">
        <v>23</v>
      </c>
      <c r="B17" s="12"/>
      <c r="C17" s="12">
        <f>COUNT(C21:C2191)</f>
        <v>28</v>
      </c>
      <c r="E17" s="16" t="s">
        <v>43</v>
      </c>
      <c r="F17" s="17">
        <f ca="1">ROUND(2*(F16-$C$7)/$C$8,0)/2+F15</f>
        <v>17714.5</v>
      </c>
    </row>
    <row r="18" spans="1:18" ht="14.25" thickTop="1" thickBot="1" x14ac:dyDescent="0.25">
      <c r="A18" s="18" t="s">
        <v>4</v>
      </c>
      <c r="B18" s="12"/>
      <c r="C18" s="21">
        <f ca="1">+C15</f>
        <v>59648.486906292732</v>
      </c>
      <c r="D18" s="22">
        <f ca="1">+C16</f>
        <v>0.42116789919394038</v>
      </c>
      <c r="E18" s="16" t="s">
        <v>27</v>
      </c>
      <c r="F18" s="25">
        <f ca="1">ROUND(2*(F16-$C$15)/$C$16,0)/2+F15</f>
        <v>742.5</v>
      </c>
    </row>
    <row r="19" spans="1:18" ht="13.5" thickTop="1" x14ac:dyDescent="0.2">
      <c r="E19" s="16" t="s">
        <v>28</v>
      </c>
      <c r="F19" s="20">
        <f ca="1">+$C$15+$C$16*F18-15018.5-$C$5/24</f>
        <v>44943.099904777569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55</v>
      </c>
      <c r="I20" s="7" t="s">
        <v>58</v>
      </c>
      <c r="J20" s="7" t="s">
        <v>52</v>
      </c>
      <c r="K20" s="7" t="s">
        <v>50</v>
      </c>
      <c r="L20" s="7" t="s">
        <v>126</v>
      </c>
      <c r="M20" s="7" t="s">
        <v>127</v>
      </c>
      <c r="N20" s="7" t="s">
        <v>128</v>
      </c>
      <c r="O20" s="7" t="s">
        <v>21</v>
      </c>
      <c r="P20" s="6" t="s">
        <v>20</v>
      </c>
      <c r="Q20" s="4" t="s">
        <v>13</v>
      </c>
    </row>
    <row r="21" spans="1:18" x14ac:dyDescent="0.2">
      <c r="A21" s="33" t="s">
        <v>44</v>
      </c>
      <c r="B21" s="39" t="s">
        <v>30</v>
      </c>
      <c r="C21" s="33">
        <v>48500.135999999999</v>
      </c>
      <c r="D21" s="33" t="s">
        <v>45</v>
      </c>
      <c r="E21">
        <f t="shared" ref="E21:E47" si="0">+(C21-C$7)/C$8</f>
        <v>-9498.0827128366891</v>
      </c>
      <c r="F21">
        <f t="shared" ref="F21:F47" si="1">ROUND(2*E21,0)/2</f>
        <v>-9498</v>
      </c>
      <c r="G21">
        <f t="shared" ref="G21:G47" si="2">+C21-(C$7+F21*C$8)</f>
        <v>-3.4836000006180257E-2</v>
      </c>
      <c r="J21">
        <f>+G21</f>
        <v>-3.4836000006180257E-2</v>
      </c>
      <c r="O21">
        <f t="shared" ref="O21:O47" ca="1" si="3">+C$11+C$12*$F21</f>
        <v>1.7786291298723439E-3</v>
      </c>
      <c r="Q21" s="2">
        <f t="shared" ref="Q21:Q47" si="4">+C21-15018.5</f>
        <v>33481.635999999999</v>
      </c>
      <c r="R21" t="s">
        <v>52</v>
      </c>
    </row>
    <row r="22" spans="1:18" x14ac:dyDescent="0.2">
      <c r="A22" s="33" t="s">
        <v>44</v>
      </c>
      <c r="B22" s="39" t="s">
        <v>35</v>
      </c>
      <c r="C22" s="33">
        <v>51708.415000000001</v>
      </c>
      <c r="D22" s="33">
        <v>2.5999999999999999E-2</v>
      </c>
      <c r="E22">
        <f t="shared" si="0"/>
        <v>-1880.5073034988416</v>
      </c>
      <c r="F22">
        <f t="shared" si="1"/>
        <v>-1880.5</v>
      </c>
      <c r="G22">
        <f t="shared" si="2"/>
        <v>-3.0760000008740462E-3</v>
      </c>
      <c r="J22">
        <f>+G22</f>
        <v>-3.0760000008740462E-3</v>
      </c>
      <c r="O22">
        <f t="shared" ca="1" si="3"/>
        <v>1.0107389709251762E-3</v>
      </c>
      <c r="Q22" s="2">
        <f t="shared" si="4"/>
        <v>36689.915000000001</v>
      </c>
      <c r="R22" t="s">
        <v>52</v>
      </c>
    </row>
    <row r="23" spans="1:18" x14ac:dyDescent="0.2">
      <c r="A23" s="33" t="s">
        <v>44</v>
      </c>
      <c r="B23" s="54" t="s">
        <v>35</v>
      </c>
      <c r="C23" s="53">
        <v>51708.415200000003</v>
      </c>
      <c r="D23" s="53" t="s">
        <v>58</v>
      </c>
      <c r="E23">
        <f t="shared" si="0"/>
        <v>-1880.5068286289506</v>
      </c>
      <c r="F23">
        <f t="shared" si="1"/>
        <v>-1880.5</v>
      </c>
      <c r="G23">
        <f t="shared" si="2"/>
        <v>-2.8759999986505136E-3</v>
      </c>
      <c r="J23">
        <f>+G23</f>
        <v>-2.8759999986505136E-3</v>
      </c>
      <c r="O23">
        <f t="shared" ca="1" si="3"/>
        <v>1.0107389709251762E-3</v>
      </c>
      <c r="Q23" s="2">
        <f t="shared" si="4"/>
        <v>36689.915200000003</v>
      </c>
      <c r="R23" t="s">
        <v>52</v>
      </c>
    </row>
    <row r="24" spans="1:18" x14ac:dyDescent="0.2">
      <c r="A24" s="30" t="s">
        <v>39</v>
      </c>
      <c r="B24" s="31" t="s">
        <v>30</v>
      </c>
      <c r="C24" s="30">
        <v>52438.509299999998</v>
      </c>
      <c r="D24" s="32">
        <v>8.9999999999999998E-4</v>
      </c>
      <c r="E24">
        <f t="shared" si="0"/>
        <v>-147.00831972040396</v>
      </c>
      <c r="F24">
        <f t="shared" si="1"/>
        <v>-147</v>
      </c>
      <c r="G24">
        <f t="shared" si="2"/>
        <v>-3.5040000002481975E-3</v>
      </c>
      <c r="J24">
        <f>+G24</f>
        <v>-3.5040000002481975E-3</v>
      </c>
      <c r="O24">
        <f t="shared" ca="1" si="3"/>
        <v>8.3599166662128184E-4</v>
      </c>
      <c r="Q24" s="2">
        <f t="shared" si="4"/>
        <v>37420.009299999998</v>
      </c>
      <c r="R24" t="s">
        <v>52</v>
      </c>
    </row>
    <row r="25" spans="1:18" x14ac:dyDescent="0.2">
      <c r="A25" s="30" t="s">
        <v>32</v>
      </c>
      <c r="B25" s="31" t="s">
        <v>30</v>
      </c>
      <c r="C25" s="30">
        <v>52500.424500000001</v>
      </c>
      <c r="D25" s="30"/>
      <c r="E25">
        <f t="shared" si="0"/>
        <v>0</v>
      </c>
      <c r="F25">
        <f t="shared" si="1"/>
        <v>0</v>
      </c>
      <c r="G25">
        <f t="shared" si="2"/>
        <v>0</v>
      </c>
      <c r="K25">
        <f>+G25</f>
        <v>0</v>
      </c>
      <c r="O25">
        <f t="shared" ca="1" si="3"/>
        <v>8.2117317586115931E-4</v>
      </c>
      <c r="Q25" s="2">
        <f t="shared" si="4"/>
        <v>37481.924500000001</v>
      </c>
      <c r="R25" s="62" t="s">
        <v>50</v>
      </c>
    </row>
    <row r="26" spans="1:18" x14ac:dyDescent="0.2">
      <c r="A26" s="33" t="s">
        <v>38</v>
      </c>
      <c r="B26" s="34" t="s">
        <v>30</v>
      </c>
      <c r="C26" s="35">
        <v>53098.487800000003</v>
      </c>
      <c r="D26" s="35">
        <v>5.0000000000000001E-4</v>
      </c>
      <c r="E26">
        <f t="shared" si="0"/>
        <v>1420.0112544162939</v>
      </c>
      <c r="F26">
        <f t="shared" si="1"/>
        <v>1420</v>
      </c>
      <c r="G26">
        <f t="shared" si="2"/>
        <v>4.7400000039488077E-3</v>
      </c>
      <c r="J26">
        <f>+G26</f>
        <v>4.7400000039488077E-3</v>
      </c>
      <c r="O26">
        <f t="shared" ca="1" si="3"/>
        <v>6.7802857123956716E-4</v>
      </c>
      <c r="Q26" s="2">
        <f t="shared" si="4"/>
        <v>38079.987800000003</v>
      </c>
      <c r="R26" t="s">
        <v>52</v>
      </c>
    </row>
    <row r="27" spans="1:18" x14ac:dyDescent="0.2">
      <c r="A27" s="30" t="s">
        <v>37</v>
      </c>
      <c r="B27" s="36" t="s">
        <v>30</v>
      </c>
      <c r="C27" s="37">
        <v>53099.749600000003</v>
      </c>
      <c r="D27" s="32">
        <v>5.0000000000000001E-4</v>
      </c>
      <c r="E27">
        <f t="shared" si="0"/>
        <v>1423.0072085248687</v>
      </c>
      <c r="F27">
        <f t="shared" si="1"/>
        <v>1423</v>
      </c>
      <c r="G27">
        <f t="shared" si="2"/>
        <v>3.0360000018845312E-3</v>
      </c>
      <c r="K27">
        <f>+G27</f>
        <v>3.0360000018845312E-3</v>
      </c>
      <c r="O27">
        <f t="shared" ca="1" si="3"/>
        <v>6.7772615306078911E-4</v>
      </c>
      <c r="Q27" s="2">
        <f t="shared" si="4"/>
        <v>38081.249600000003</v>
      </c>
      <c r="R27" t="s">
        <v>50</v>
      </c>
    </row>
    <row r="28" spans="1:18" x14ac:dyDescent="0.2">
      <c r="A28" s="33" t="s">
        <v>38</v>
      </c>
      <c r="B28" s="34" t="s">
        <v>35</v>
      </c>
      <c r="C28" s="35">
        <v>53255.364600000001</v>
      </c>
      <c r="D28" s="35">
        <v>4.0000000000000002E-4</v>
      </c>
      <c r="E28">
        <f t="shared" si="0"/>
        <v>1792.4915948030236</v>
      </c>
      <c r="F28">
        <f t="shared" si="1"/>
        <v>1792.5</v>
      </c>
      <c r="G28">
        <f t="shared" si="2"/>
        <v>-3.5399999978835694E-3</v>
      </c>
      <c r="J28">
        <f>+G28</f>
        <v>-3.5399999978835694E-3</v>
      </c>
      <c r="O28">
        <f t="shared" ca="1" si="3"/>
        <v>6.404783140412974E-4</v>
      </c>
      <c r="Q28" s="2">
        <f t="shared" si="4"/>
        <v>38236.864600000001</v>
      </c>
      <c r="R28" t="s">
        <v>52</v>
      </c>
    </row>
    <row r="29" spans="1:18" x14ac:dyDescent="0.2">
      <c r="A29" s="33" t="s">
        <v>38</v>
      </c>
      <c r="B29" s="34" t="s">
        <v>35</v>
      </c>
      <c r="C29" s="35">
        <v>53266.315999999999</v>
      </c>
      <c r="D29" s="35">
        <v>2.9999999999999997E-4</v>
      </c>
      <c r="E29">
        <f t="shared" si="0"/>
        <v>1818.494045131629</v>
      </c>
      <c r="F29">
        <f t="shared" si="1"/>
        <v>1818.5</v>
      </c>
      <c r="G29">
        <f t="shared" si="2"/>
        <v>-2.5080000050365925E-3</v>
      </c>
      <c r="J29">
        <f>+G29</f>
        <v>-2.5080000050365925E-3</v>
      </c>
      <c r="O29">
        <f t="shared" ca="1" si="3"/>
        <v>6.3785735649188801E-4</v>
      </c>
      <c r="Q29" s="2">
        <f t="shared" si="4"/>
        <v>38247.815999999999</v>
      </c>
      <c r="R29" t="s">
        <v>52</v>
      </c>
    </row>
    <row r="30" spans="1:18" x14ac:dyDescent="0.2">
      <c r="A30" s="38" t="s">
        <v>40</v>
      </c>
      <c r="B30" s="31" t="s">
        <v>30</v>
      </c>
      <c r="C30" s="30">
        <v>54632.800000000003</v>
      </c>
      <c r="D30" s="30">
        <v>1E-3</v>
      </c>
      <c r="E30">
        <f t="shared" si="0"/>
        <v>5063.0045492535091</v>
      </c>
      <c r="F30">
        <f t="shared" si="1"/>
        <v>5063</v>
      </c>
      <c r="G30">
        <f t="shared" si="2"/>
        <v>1.9160000010742806E-3</v>
      </c>
      <c r="K30">
        <f>+G30</f>
        <v>1.9160000010742806E-3</v>
      </c>
      <c r="O30">
        <f t="shared" ca="1" si="3"/>
        <v>3.1079209614346846E-4</v>
      </c>
      <c r="Q30" s="2">
        <f t="shared" si="4"/>
        <v>39614.300000000003</v>
      </c>
      <c r="R30" t="s">
        <v>50</v>
      </c>
    </row>
    <row r="31" spans="1:18" x14ac:dyDescent="0.2">
      <c r="A31" s="38" t="s">
        <v>40</v>
      </c>
      <c r="B31" s="31" t="s">
        <v>30</v>
      </c>
      <c r="C31" s="30">
        <v>54632.800000000003</v>
      </c>
      <c r="D31" s="30">
        <v>1E-3</v>
      </c>
      <c r="E31">
        <f t="shared" si="0"/>
        <v>5063.0045492535091</v>
      </c>
      <c r="F31">
        <f t="shared" si="1"/>
        <v>5063</v>
      </c>
      <c r="G31">
        <f t="shared" si="2"/>
        <v>1.9160000010742806E-3</v>
      </c>
      <c r="K31">
        <f>+G31</f>
        <v>1.9160000010742806E-3</v>
      </c>
      <c r="O31">
        <f t="shared" ca="1" si="3"/>
        <v>3.1079209614346846E-4</v>
      </c>
      <c r="Q31" s="2">
        <f t="shared" si="4"/>
        <v>39614.300000000003</v>
      </c>
      <c r="R31" t="s">
        <v>50</v>
      </c>
    </row>
    <row r="32" spans="1:18" x14ac:dyDescent="0.2">
      <c r="A32" s="33" t="s">
        <v>41</v>
      </c>
      <c r="B32" s="39" t="s">
        <v>30</v>
      </c>
      <c r="C32" s="33">
        <v>54899.822899999999</v>
      </c>
      <c r="D32" s="33">
        <v>2.0000000000000001E-4</v>
      </c>
      <c r="E32">
        <f t="shared" si="0"/>
        <v>5697.0102191999349</v>
      </c>
      <c r="F32">
        <f t="shared" si="1"/>
        <v>5697</v>
      </c>
      <c r="G32">
        <f t="shared" si="2"/>
        <v>4.3040000018663704E-3</v>
      </c>
      <c r="K32">
        <f>+G32</f>
        <v>4.3040000018663704E-3</v>
      </c>
      <c r="O32">
        <f t="shared" ca="1" si="3"/>
        <v>2.4688105436171544E-4</v>
      </c>
      <c r="Q32" s="2">
        <f t="shared" si="4"/>
        <v>39881.322899999999</v>
      </c>
      <c r="R32" t="s">
        <v>50</v>
      </c>
    </row>
    <row r="33" spans="1:18" x14ac:dyDescent="0.2">
      <c r="A33" s="33" t="s">
        <v>46</v>
      </c>
      <c r="B33" s="39" t="s">
        <v>30</v>
      </c>
      <c r="C33" s="33">
        <v>54931.3946</v>
      </c>
      <c r="D33" s="33">
        <v>5.0000000000000001E-4</v>
      </c>
      <c r="E33">
        <f t="shared" si="0"/>
        <v>5771.9724670440273</v>
      </c>
      <c r="F33">
        <f t="shared" si="1"/>
        <v>5772</v>
      </c>
      <c r="G33">
        <f t="shared" si="2"/>
        <v>-1.1596000003919471E-2</v>
      </c>
      <c r="J33">
        <f>+G33</f>
        <v>-1.1596000003919471E-2</v>
      </c>
      <c r="O33">
        <f t="shared" ca="1" si="3"/>
        <v>2.393205998922651E-4</v>
      </c>
      <c r="Q33" s="2">
        <f t="shared" si="4"/>
        <v>39912.8946</v>
      </c>
      <c r="R33" t="s">
        <v>52</v>
      </c>
    </row>
    <row r="34" spans="1:18" x14ac:dyDescent="0.2">
      <c r="A34" s="33" t="s">
        <v>46</v>
      </c>
      <c r="B34" s="39" t="s">
        <v>30</v>
      </c>
      <c r="C34" s="33">
        <v>54931.625800000002</v>
      </c>
      <c r="D34" s="33">
        <v>6.9999999999999999E-4</v>
      </c>
      <c r="E34">
        <f t="shared" si="0"/>
        <v>5772.5214166318447</v>
      </c>
      <c r="F34">
        <f t="shared" si="1"/>
        <v>5772.5</v>
      </c>
      <c r="G34">
        <f t="shared" si="2"/>
        <v>9.01999999769032E-3</v>
      </c>
      <c r="J34">
        <f>+G34</f>
        <v>9.01999999769032E-3</v>
      </c>
      <c r="O34">
        <f t="shared" ca="1" si="3"/>
        <v>2.392701968624688E-4</v>
      </c>
      <c r="Q34" s="2">
        <f t="shared" si="4"/>
        <v>39913.125800000002</v>
      </c>
      <c r="R34" t="s">
        <v>52</v>
      </c>
    </row>
    <row r="35" spans="1:18" x14ac:dyDescent="0.2">
      <c r="A35" s="55" t="s">
        <v>47</v>
      </c>
      <c r="B35" s="55"/>
      <c r="C35" s="56">
        <v>55600.643499999998</v>
      </c>
      <c r="D35" s="56">
        <v>1.9E-3</v>
      </c>
      <c r="E35">
        <f t="shared" si="0"/>
        <v>7361.0032101204206</v>
      </c>
      <c r="F35">
        <f t="shared" si="1"/>
        <v>7361</v>
      </c>
      <c r="G35">
        <f t="shared" si="2"/>
        <v>1.3519999993150122E-3</v>
      </c>
      <c r="J35">
        <f>+G35</f>
        <v>1.3519999993150122E-3</v>
      </c>
      <c r="O35">
        <f t="shared" ca="1" si="3"/>
        <v>7.9139771199511683E-5</v>
      </c>
      <c r="Q35" s="2">
        <f t="shared" si="4"/>
        <v>40582.143499999998</v>
      </c>
      <c r="R35" t="s">
        <v>52</v>
      </c>
    </row>
    <row r="36" spans="1:18" x14ac:dyDescent="0.2">
      <c r="A36" s="56" t="s">
        <v>123</v>
      </c>
      <c r="B36" s="57" t="s">
        <v>30</v>
      </c>
      <c r="C36" s="56">
        <v>56733.587399999997</v>
      </c>
      <c r="D36" s="56">
        <v>2.9999999999999997E-4</v>
      </c>
      <c r="E36">
        <f t="shared" si="0"/>
        <v>10051.007911332284</v>
      </c>
      <c r="F36">
        <f t="shared" si="1"/>
        <v>10051</v>
      </c>
      <c r="G36">
        <f t="shared" si="2"/>
        <v>3.3319999929517508E-3</v>
      </c>
      <c r="K36">
        <f t="shared" ref="K36:K44" si="5">+G36</f>
        <v>3.3319999929517508E-3</v>
      </c>
      <c r="O36">
        <f t="shared" ca="1" si="3"/>
        <v>-1.9202852910477205E-4</v>
      </c>
      <c r="Q36" s="2">
        <f t="shared" si="4"/>
        <v>41715.087399999997</v>
      </c>
      <c r="R36" t="s">
        <v>50</v>
      </c>
    </row>
    <row r="37" spans="1:18" x14ac:dyDescent="0.2">
      <c r="A37" s="56" t="s">
        <v>123</v>
      </c>
      <c r="B37" s="57" t="s">
        <v>35</v>
      </c>
      <c r="C37" s="56">
        <v>56734.640200000002</v>
      </c>
      <c r="D37" s="56">
        <v>2.9999999999999997E-4</v>
      </c>
      <c r="E37">
        <f t="shared" si="0"/>
        <v>10053.507626410365</v>
      </c>
      <c r="F37">
        <f t="shared" si="1"/>
        <v>10053.5</v>
      </c>
      <c r="G37">
        <f t="shared" si="2"/>
        <v>3.2120000032591633E-3</v>
      </c>
      <c r="K37">
        <f t="shared" si="5"/>
        <v>3.2120000032591633E-3</v>
      </c>
      <c r="O37">
        <f t="shared" ca="1" si="3"/>
        <v>-1.922805442537538E-4</v>
      </c>
      <c r="Q37" s="2">
        <f t="shared" si="4"/>
        <v>41716.140200000002</v>
      </c>
      <c r="R37" t="s">
        <v>50</v>
      </c>
    </row>
    <row r="38" spans="1:18" x14ac:dyDescent="0.2">
      <c r="A38" s="56" t="s">
        <v>123</v>
      </c>
      <c r="B38" s="57" t="s">
        <v>35</v>
      </c>
      <c r="C38" s="56">
        <v>56735.484900000003</v>
      </c>
      <c r="D38" s="56">
        <v>4.0000000000000002E-4</v>
      </c>
      <c r="E38">
        <f t="shared" si="0"/>
        <v>10055.513239372418</v>
      </c>
      <c r="F38">
        <f t="shared" si="1"/>
        <v>10055.5</v>
      </c>
      <c r="G38">
        <f t="shared" si="2"/>
        <v>5.5760000032023527E-3</v>
      </c>
      <c r="K38">
        <f t="shared" si="5"/>
        <v>5.5760000032023527E-3</v>
      </c>
      <c r="O38">
        <f t="shared" ca="1" si="3"/>
        <v>-1.9248215637293902E-4</v>
      </c>
      <c r="Q38" s="2">
        <f t="shared" si="4"/>
        <v>41716.984900000003</v>
      </c>
      <c r="R38" t="s">
        <v>50</v>
      </c>
    </row>
    <row r="39" spans="1:18" x14ac:dyDescent="0.2">
      <c r="A39" s="56" t="s">
        <v>123</v>
      </c>
      <c r="B39" s="57" t="s">
        <v>30</v>
      </c>
      <c r="C39" s="56">
        <v>56736.536200000002</v>
      </c>
      <c r="D39" s="56">
        <v>2.0000000000000001E-4</v>
      </c>
      <c r="E39">
        <f t="shared" si="0"/>
        <v>10058.009392926342</v>
      </c>
      <c r="F39">
        <f t="shared" si="1"/>
        <v>10058</v>
      </c>
      <c r="G39">
        <f t="shared" si="2"/>
        <v>3.9560000004712492E-3</v>
      </c>
      <c r="K39">
        <f t="shared" si="5"/>
        <v>3.9560000004712492E-3</v>
      </c>
      <c r="O39">
        <f t="shared" ca="1" si="3"/>
        <v>-1.9273417152192076E-4</v>
      </c>
      <c r="Q39" s="2">
        <f t="shared" si="4"/>
        <v>41718.036200000002</v>
      </c>
      <c r="R39" t="s">
        <v>50</v>
      </c>
    </row>
    <row r="40" spans="1:18" x14ac:dyDescent="0.2">
      <c r="A40" s="56" t="s">
        <v>123</v>
      </c>
      <c r="B40" s="57" t="s">
        <v>35</v>
      </c>
      <c r="C40" s="56">
        <v>56737.589899999999</v>
      </c>
      <c r="D40" s="56">
        <v>2.9999999999999997E-4</v>
      </c>
      <c r="E40">
        <f t="shared" si="0"/>
        <v>10060.511244918887</v>
      </c>
      <c r="F40">
        <f t="shared" si="1"/>
        <v>10060.5</v>
      </c>
      <c r="G40">
        <f t="shared" si="2"/>
        <v>4.7359999953187071E-3</v>
      </c>
      <c r="K40">
        <f t="shared" si="5"/>
        <v>4.7359999953187071E-3</v>
      </c>
      <c r="O40">
        <f t="shared" ca="1" si="3"/>
        <v>-1.9298618667090229E-4</v>
      </c>
      <c r="Q40" s="2">
        <f t="shared" si="4"/>
        <v>41719.089899999999</v>
      </c>
      <c r="R40" t="s">
        <v>50</v>
      </c>
    </row>
    <row r="41" spans="1:18" x14ac:dyDescent="0.2">
      <c r="A41" s="56" t="s">
        <v>123</v>
      </c>
      <c r="B41" s="57" t="s">
        <v>30</v>
      </c>
      <c r="C41" s="56">
        <v>56738.636400000003</v>
      </c>
      <c r="D41" s="56">
        <v>2.9999999999999997E-4</v>
      </c>
      <c r="E41">
        <f t="shared" si="0"/>
        <v>10062.996001595568</v>
      </c>
      <c r="F41">
        <f t="shared" si="1"/>
        <v>10063</v>
      </c>
      <c r="G41">
        <f t="shared" si="2"/>
        <v>-1.6839999952935614E-3</v>
      </c>
      <c r="K41">
        <f t="shared" si="5"/>
        <v>-1.6839999952935614E-3</v>
      </c>
      <c r="O41">
        <f t="shared" ca="1" si="3"/>
        <v>-1.9323820181988403E-4</v>
      </c>
      <c r="Q41" s="2">
        <f t="shared" si="4"/>
        <v>41720.136400000003</v>
      </c>
      <c r="R41" t="s">
        <v>50</v>
      </c>
    </row>
    <row r="42" spans="1:18" x14ac:dyDescent="0.2">
      <c r="A42" s="56" t="s">
        <v>123</v>
      </c>
      <c r="B42" s="57" t="s">
        <v>35</v>
      </c>
      <c r="C42" s="56">
        <v>56756.538999999997</v>
      </c>
      <c r="D42" s="56">
        <v>2.9999999999999997E-4</v>
      </c>
      <c r="E42">
        <f t="shared" si="0"/>
        <v>10105.503029669861</v>
      </c>
      <c r="F42">
        <f t="shared" si="1"/>
        <v>10105.5</v>
      </c>
      <c r="G42">
        <f t="shared" si="2"/>
        <v>1.2759999954141676E-3</v>
      </c>
      <c r="K42">
        <f t="shared" si="5"/>
        <v>1.2759999954141676E-3</v>
      </c>
      <c r="O42">
        <f t="shared" ca="1" si="3"/>
        <v>-1.9752245935257258E-4</v>
      </c>
      <c r="Q42" s="2">
        <f t="shared" si="4"/>
        <v>41738.038999999997</v>
      </c>
      <c r="R42" t="s">
        <v>50</v>
      </c>
    </row>
    <row r="43" spans="1:18" x14ac:dyDescent="0.2">
      <c r="A43" s="56" t="s">
        <v>123</v>
      </c>
      <c r="B43" s="57" t="s">
        <v>30</v>
      </c>
      <c r="C43" s="56">
        <v>56758.433599999997</v>
      </c>
      <c r="D43" s="56">
        <v>2.9999999999999997E-4</v>
      </c>
      <c r="E43">
        <f t="shared" si="0"/>
        <v>10110.001472096636</v>
      </c>
      <c r="F43">
        <f t="shared" si="1"/>
        <v>10110</v>
      </c>
      <c r="G43">
        <f t="shared" si="2"/>
        <v>6.1999999888939783E-4</v>
      </c>
      <c r="K43">
        <f t="shared" si="5"/>
        <v>6.1999999888939783E-4</v>
      </c>
      <c r="O43">
        <f t="shared" ca="1" si="3"/>
        <v>-1.9797608662073954E-4</v>
      </c>
      <c r="Q43" s="2">
        <f t="shared" si="4"/>
        <v>41739.933599999997</v>
      </c>
      <c r="R43" t="s">
        <v>50</v>
      </c>
    </row>
    <row r="44" spans="1:18" x14ac:dyDescent="0.2">
      <c r="A44" s="56" t="s">
        <v>123</v>
      </c>
      <c r="B44" s="57" t="s">
        <v>30</v>
      </c>
      <c r="C44" s="56">
        <v>56766.441400000003</v>
      </c>
      <c r="D44" s="56">
        <v>2.9999999999999997E-4</v>
      </c>
      <c r="E44">
        <f t="shared" si="0"/>
        <v>10129.014787448245</v>
      </c>
      <c r="F44">
        <f t="shared" si="1"/>
        <v>10129</v>
      </c>
      <c r="G44">
        <f t="shared" si="2"/>
        <v>6.2280000056489371E-3</v>
      </c>
      <c r="K44">
        <f t="shared" si="5"/>
        <v>6.2280000056489371E-3</v>
      </c>
      <c r="O44">
        <f t="shared" ca="1" si="3"/>
        <v>-1.9989140175300023E-4</v>
      </c>
      <c r="Q44" s="2">
        <f t="shared" si="4"/>
        <v>41747.941400000003</v>
      </c>
      <c r="R44" t="s">
        <v>50</v>
      </c>
    </row>
    <row r="45" spans="1:18" x14ac:dyDescent="0.2">
      <c r="A45" s="58" t="s">
        <v>122</v>
      </c>
      <c r="B45" s="57"/>
      <c r="C45" s="56">
        <v>57125.4787</v>
      </c>
      <c r="D45" s="56">
        <v>2.0000000000000001E-4</v>
      </c>
      <c r="E45">
        <f t="shared" si="0"/>
        <v>10981.49479542605</v>
      </c>
      <c r="F45">
        <f t="shared" si="1"/>
        <v>10981.5</v>
      </c>
      <c r="G45">
        <f t="shared" si="2"/>
        <v>-2.1919999999227002E-3</v>
      </c>
      <c r="J45">
        <f>+G45</f>
        <v>-2.1919999999227002E-3</v>
      </c>
      <c r="O45">
        <f t="shared" ca="1" si="3"/>
        <v>-2.8582856755575187E-4</v>
      </c>
      <c r="Q45" s="2">
        <f t="shared" si="4"/>
        <v>42106.9787</v>
      </c>
      <c r="R45" t="s">
        <v>52</v>
      </c>
    </row>
    <row r="46" spans="1:18" x14ac:dyDescent="0.2">
      <c r="A46" s="59" t="s">
        <v>124</v>
      </c>
      <c r="B46" s="60" t="s">
        <v>30</v>
      </c>
      <c r="C46" s="61">
        <v>57226.771399999998</v>
      </c>
      <c r="D46" s="61">
        <v>5.0000000000000001E-4</v>
      </c>
      <c r="E46">
        <f t="shared" si="0"/>
        <v>11221.99905975762</v>
      </c>
      <c r="F46">
        <f t="shared" si="1"/>
        <v>11222</v>
      </c>
      <c r="G46">
        <f t="shared" si="2"/>
        <v>-3.9600000309292227E-4</v>
      </c>
      <c r="K46">
        <f>+G46</f>
        <v>-3.9600000309292227E-4</v>
      </c>
      <c r="O46">
        <f t="shared" ca="1" si="3"/>
        <v>-3.1007242488778923E-4</v>
      </c>
      <c r="Q46" s="2">
        <f t="shared" si="4"/>
        <v>42208.271399999998</v>
      </c>
      <c r="R46" s="62" t="s">
        <v>50</v>
      </c>
    </row>
    <row r="47" spans="1:18" x14ac:dyDescent="0.2">
      <c r="A47" s="59" t="s">
        <v>125</v>
      </c>
      <c r="B47" s="60" t="s">
        <v>30</v>
      </c>
      <c r="C47" s="61">
        <v>57544.753199999999</v>
      </c>
      <c r="D47" s="61">
        <v>2.9999999999999997E-4</v>
      </c>
      <c r="E47">
        <f t="shared" si="0"/>
        <v>11976.998964783645</v>
      </c>
      <c r="F47">
        <f t="shared" si="1"/>
        <v>11977</v>
      </c>
      <c r="G47">
        <f t="shared" si="2"/>
        <v>-4.3600000208243728E-4</v>
      </c>
      <c r="K47">
        <f>+G47</f>
        <v>-4.3600000208243728E-4</v>
      </c>
      <c r="O47">
        <f t="shared" ca="1" si="3"/>
        <v>-3.8618099988025549E-4</v>
      </c>
      <c r="Q47" s="2">
        <f t="shared" si="4"/>
        <v>42526.253199999999</v>
      </c>
      <c r="R47" s="62" t="s">
        <v>50</v>
      </c>
    </row>
    <row r="48" spans="1:18" x14ac:dyDescent="0.2">
      <c r="A48" s="63" t="s">
        <v>130</v>
      </c>
      <c r="B48" s="64" t="s">
        <v>35</v>
      </c>
      <c r="C48" s="65">
        <v>59648.468500000003</v>
      </c>
      <c r="D48" s="63">
        <v>1.1999999999999999E-3</v>
      </c>
      <c r="E48">
        <f t="shared" ref="E48" si="6">+(C48-C$7)/C$8</f>
        <v>16971.954184553437</v>
      </c>
      <c r="F48">
        <f t="shared" ref="F48" si="7">ROUND(2*E48,0)/2</f>
        <v>16972</v>
      </c>
      <c r="G48">
        <f t="shared" ref="G48" si="8">+C48-(C$7+F48*C$8)</f>
        <v>-1.9295999998576008E-2</v>
      </c>
      <c r="K48">
        <f>+G48</f>
        <v>-1.9295999998576008E-2</v>
      </c>
      <c r="O48">
        <f t="shared" ref="O48" ca="1" si="9">+C$11+C$12*$F48</f>
        <v>-8.8970726754564471E-4</v>
      </c>
      <c r="Q48" s="2">
        <f t="shared" ref="Q48" si="10">+C48-15018.5</f>
        <v>44629.968500000003</v>
      </c>
      <c r="R48" s="62" t="s">
        <v>50</v>
      </c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0"/>
  <sheetViews>
    <sheetView workbookViewId="0">
      <selection activeCell="A22" sqref="A22:D23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0" t="s">
        <v>48</v>
      </c>
      <c r="I1" s="41" t="s">
        <v>49</v>
      </c>
      <c r="J1" s="42" t="s">
        <v>50</v>
      </c>
    </row>
    <row r="2" spans="1:16" x14ac:dyDescent="0.2">
      <c r="I2" s="43" t="s">
        <v>51</v>
      </c>
      <c r="J2" s="44" t="s">
        <v>52</v>
      </c>
    </row>
    <row r="3" spans="1:16" x14ac:dyDescent="0.2">
      <c r="A3" s="45" t="s">
        <v>53</v>
      </c>
      <c r="I3" s="43" t="s">
        <v>54</v>
      </c>
      <c r="J3" s="44" t="s">
        <v>55</v>
      </c>
    </row>
    <row r="4" spans="1:16" x14ac:dyDescent="0.2">
      <c r="I4" s="43" t="s">
        <v>56</v>
      </c>
      <c r="J4" s="44" t="s">
        <v>55</v>
      </c>
    </row>
    <row r="5" spans="1:16" ht="13.5" thickBot="1" x14ac:dyDescent="0.25">
      <c r="I5" s="46" t="s">
        <v>57</v>
      </c>
      <c r="J5" s="47" t="s">
        <v>58</v>
      </c>
    </row>
    <row r="10" spans="1:16" ht="13.5" thickBot="1" x14ac:dyDescent="0.25"/>
    <row r="11" spans="1:16" ht="12.75" customHeight="1" thickBot="1" x14ac:dyDescent="0.25">
      <c r="A11" s="10" t="str">
        <f t="shared" ref="A11:A23" si="0">P11</f>
        <v> ESA 1998 </v>
      </c>
      <c r="B11" s="3" t="str">
        <f t="shared" ref="B11:B23" si="1">IF(H11=INT(H11),"I","II")</f>
        <v>I</v>
      </c>
      <c r="C11" s="10">
        <f t="shared" ref="C11:C23" si="2">1*G11</f>
        <v>48500.135999999999</v>
      </c>
      <c r="D11" s="12" t="str">
        <f t="shared" ref="D11:D23" si="3">VLOOKUP(F11,I$1:J$5,2,FALSE)</f>
        <v>vis</v>
      </c>
      <c r="E11" s="48">
        <f>VLOOKUP(C11,Active!C$21:E$973,3,FALSE)</f>
        <v>-9498.0827128366891</v>
      </c>
      <c r="F11" s="3" t="s">
        <v>57</v>
      </c>
      <c r="G11" s="12" t="str">
        <f t="shared" ref="G11:G23" si="4">MID(I11,3,LEN(I11)-3)</f>
        <v>48500.136</v>
      </c>
      <c r="H11" s="10">
        <f t="shared" ref="H11:H23" si="5">1*K11</f>
        <v>-9498</v>
      </c>
      <c r="I11" s="49" t="s">
        <v>59</v>
      </c>
      <c r="J11" s="50" t="s">
        <v>60</v>
      </c>
      <c r="K11" s="49">
        <v>-9498</v>
      </c>
      <c r="L11" s="49" t="s">
        <v>61</v>
      </c>
      <c r="M11" s="50" t="s">
        <v>62</v>
      </c>
      <c r="N11" s="50" t="s">
        <v>63</v>
      </c>
      <c r="O11" s="51" t="s">
        <v>64</v>
      </c>
      <c r="P11" s="51" t="s">
        <v>65</v>
      </c>
    </row>
    <row r="12" spans="1:16" ht="12.75" customHeight="1" thickBot="1" x14ac:dyDescent="0.25">
      <c r="A12" s="10" t="str">
        <f t="shared" si="0"/>
        <v>IBVS 5623 </v>
      </c>
      <c r="B12" s="3" t="str">
        <f t="shared" si="1"/>
        <v>I</v>
      </c>
      <c r="C12" s="10">
        <f t="shared" si="2"/>
        <v>52438.509299999998</v>
      </c>
      <c r="D12" s="12" t="str">
        <f t="shared" si="3"/>
        <v>vis</v>
      </c>
      <c r="E12" s="48">
        <f>VLOOKUP(C12,Active!C$21:E$973,3,FALSE)</f>
        <v>-147.00831972040396</v>
      </c>
      <c r="F12" s="3" t="s">
        <v>57</v>
      </c>
      <c r="G12" s="12" t="str">
        <f t="shared" si="4"/>
        <v>52438.5093</v>
      </c>
      <c r="H12" s="10">
        <f t="shared" si="5"/>
        <v>-147</v>
      </c>
      <c r="I12" s="49" t="s">
        <v>71</v>
      </c>
      <c r="J12" s="50" t="s">
        <v>72</v>
      </c>
      <c r="K12" s="49">
        <v>-147</v>
      </c>
      <c r="L12" s="49" t="s">
        <v>73</v>
      </c>
      <c r="M12" s="50" t="s">
        <v>62</v>
      </c>
      <c r="N12" s="50" t="s">
        <v>63</v>
      </c>
      <c r="O12" s="51" t="s">
        <v>74</v>
      </c>
      <c r="P12" s="52" t="s">
        <v>75</v>
      </c>
    </row>
    <row r="13" spans="1:16" ht="12.75" customHeight="1" thickBot="1" x14ac:dyDescent="0.25">
      <c r="A13" s="10" t="str">
        <f t="shared" si="0"/>
        <v>IBVS 5606 </v>
      </c>
      <c r="B13" s="3" t="str">
        <f t="shared" si="1"/>
        <v>I</v>
      </c>
      <c r="C13" s="10">
        <f t="shared" si="2"/>
        <v>53098.487800000003</v>
      </c>
      <c r="D13" s="12" t="str">
        <f t="shared" si="3"/>
        <v>vis</v>
      </c>
      <c r="E13" s="48">
        <f>VLOOKUP(C13,Active!C$21:E$973,3,FALSE)</f>
        <v>1420.0112544162939</v>
      </c>
      <c r="F13" s="3" t="s">
        <v>57</v>
      </c>
      <c r="G13" s="12" t="str">
        <f t="shared" si="4"/>
        <v>53098.4878</v>
      </c>
      <c r="H13" s="10">
        <f t="shared" si="5"/>
        <v>1420</v>
      </c>
      <c r="I13" s="49" t="s">
        <v>76</v>
      </c>
      <c r="J13" s="50" t="s">
        <v>77</v>
      </c>
      <c r="K13" s="49">
        <v>1420</v>
      </c>
      <c r="L13" s="49" t="s">
        <v>78</v>
      </c>
      <c r="M13" s="50" t="s">
        <v>62</v>
      </c>
      <c r="N13" s="50" t="s">
        <v>63</v>
      </c>
      <c r="O13" s="51" t="s">
        <v>79</v>
      </c>
      <c r="P13" s="52" t="s">
        <v>80</v>
      </c>
    </row>
    <row r="14" spans="1:16" ht="12.75" customHeight="1" thickBot="1" x14ac:dyDescent="0.25">
      <c r="A14" s="10" t="str">
        <f t="shared" si="0"/>
        <v>IBVS 5603 </v>
      </c>
      <c r="B14" s="3" t="str">
        <f t="shared" si="1"/>
        <v>I</v>
      </c>
      <c r="C14" s="10">
        <f t="shared" si="2"/>
        <v>53099.749600000003</v>
      </c>
      <c r="D14" s="12" t="str">
        <f t="shared" si="3"/>
        <v>vis</v>
      </c>
      <c r="E14" s="48">
        <f>VLOOKUP(C14,Active!C$21:E$973,3,FALSE)</f>
        <v>1423.0072085248687</v>
      </c>
      <c r="F14" s="3" t="s">
        <v>57</v>
      </c>
      <c r="G14" s="12" t="str">
        <f t="shared" si="4"/>
        <v>53099.7496</v>
      </c>
      <c r="H14" s="10">
        <f t="shared" si="5"/>
        <v>1423</v>
      </c>
      <c r="I14" s="49" t="s">
        <v>81</v>
      </c>
      <c r="J14" s="50" t="s">
        <v>82</v>
      </c>
      <c r="K14" s="49">
        <v>1423</v>
      </c>
      <c r="L14" s="49" t="s">
        <v>83</v>
      </c>
      <c r="M14" s="50" t="s">
        <v>62</v>
      </c>
      <c r="N14" s="50" t="s">
        <v>63</v>
      </c>
      <c r="O14" s="51" t="s">
        <v>84</v>
      </c>
      <c r="P14" s="52" t="s">
        <v>85</v>
      </c>
    </row>
    <row r="15" spans="1:16" ht="12.75" customHeight="1" thickBot="1" x14ac:dyDescent="0.25">
      <c r="A15" s="10" t="str">
        <f t="shared" si="0"/>
        <v>IBVS 5606 </v>
      </c>
      <c r="B15" s="3" t="str">
        <f t="shared" si="1"/>
        <v>II</v>
      </c>
      <c r="C15" s="10">
        <f t="shared" si="2"/>
        <v>53255.364600000001</v>
      </c>
      <c r="D15" s="12" t="str">
        <f t="shared" si="3"/>
        <v>vis</v>
      </c>
      <c r="E15" s="48">
        <f>VLOOKUP(C15,Active!C$21:E$973,3,FALSE)</f>
        <v>1792.4915948030236</v>
      </c>
      <c r="F15" s="3" t="s">
        <v>57</v>
      </c>
      <c r="G15" s="12" t="str">
        <f t="shared" si="4"/>
        <v>53255.3646</v>
      </c>
      <c r="H15" s="10">
        <f t="shared" si="5"/>
        <v>1792.5</v>
      </c>
      <c r="I15" s="49" t="s">
        <v>86</v>
      </c>
      <c r="J15" s="50" t="s">
        <v>87</v>
      </c>
      <c r="K15" s="49">
        <v>1792.5</v>
      </c>
      <c r="L15" s="49" t="s">
        <v>73</v>
      </c>
      <c r="M15" s="50" t="s">
        <v>62</v>
      </c>
      <c r="N15" s="50" t="s">
        <v>63</v>
      </c>
      <c r="O15" s="51" t="s">
        <v>79</v>
      </c>
      <c r="P15" s="52" t="s">
        <v>80</v>
      </c>
    </row>
    <row r="16" spans="1:16" ht="12.75" customHeight="1" thickBot="1" x14ac:dyDescent="0.25">
      <c r="A16" s="10" t="str">
        <f t="shared" si="0"/>
        <v>IBVS 5606 </v>
      </c>
      <c r="B16" s="3" t="str">
        <f t="shared" si="1"/>
        <v>II</v>
      </c>
      <c r="C16" s="10">
        <f t="shared" si="2"/>
        <v>53266.315999999999</v>
      </c>
      <c r="D16" s="12" t="str">
        <f t="shared" si="3"/>
        <v>vis</v>
      </c>
      <c r="E16" s="48">
        <f>VLOOKUP(C16,Active!C$21:E$973,3,FALSE)</f>
        <v>1818.494045131629</v>
      </c>
      <c r="F16" s="3" t="s">
        <v>57</v>
      </c>
      <c r="G16" s="12" t="str">
        <f t="shared" si="4"/>
        <v>53266.3160</v>
      </c>
      <c r="H16" s="10">
        <f t="shared" si="5"/>
        <v>1818.5</v>
      </c>
      <c r="I16" s="49" t="s">
        <v>88</v>
      </c>
      <c r="J16" s="50" t="s">
        <v>89</v>
      </c>
      <c r="K16" s="49">
        <v>1818.5</v>
      </c>
      <c r="L16" s="49" t="s">
        <v>90</v>
      </c>
      <c r="M16" s="50" t="s">
        <v>62</v>
      </c>
      <c r="N16" s="50" t="s">
        <v>63</v>
      </c>
      <c r="O16" s="51" t="s">
        <v>79</v>
      </c>
      <c r="P16" s="52" t="s">
        <v>80</v>
      </c>
    </row>
    <row r="17" spans="1:16" ht="12.75" customHeight="1" thickBot="1" x14ac:dyDescent="0.25">
      <c r="A17" s="10" t="str">
        <f t="shared" si="0"/>
        <v>IBVS 5870 </v>
      </c>
      <c r="B17" s="3" t="str">
        <f t="shared" si="1"/>
        <v>I</v>
      </c>
      <c r="C17" s="10">
        <f t="shared" si="2"/>
        <v>54632.800000000003</v>
      </c>
      <c r="D17" s="12" t="str">
        <f t="shared" si="3"/>
        <v>vis</v>
      </c>
      <c r="E17" s="48">
        <f>VLOOKUP(C17,Active!C$21:E$973,3,FALSE)</f>
        <v>5063.0045492535091</v>
      </c>
      <c r="F17" s="3" t="s">
        <v>57</v>
      </c>
      <c r="G17" s="12" t="str">
        <f t="shared" si="4"/>
        <v>54632.800</v>
      </c>
      <c r="H17" s="10">
        <f t="shared" si="5"/>
        <v>5063</v>
      </c>
      <c r="I17" s="49" t="s">
        <v>91</v>
      </c>
      <c r="J17" s="50" t="s">
        <v>92</v>
      </c>
      <c r="K17" s="49">
        <v>5063</v>
      </c>
      <c r="L17" s="49" t="s">
        <v>93</v>
      </c>
      <c r="M17" s="50" t="s">
        <v>94</v>
      </c>
      <c r="N17" s="50" t="s">
        <v>57</v>
      </c>
      <c r="O17" s="51" t="s">
        <v>84</v>
      </c>
      <c r="P17" s="52" t="s">
        <v>95</v>
      </c>
    </row>
    <row r="18" spans="1:16" ht="12.75" customHeight="1" thickBot="1" x14ac:dyDescent="0.25">
      <c r="A18" s="10" t="str">
        <f t="shared" si="0"/>
        <v>IBVS 5938 </v>
      </c>
      <c r="B18" s="3" t="str">
        <f t="shared" si="1"/>
        <v>I</v>
      </c>
      <c r="C18" s="10">
        <f t="shared" si="2"/>
        <v>54899.822899999999</v>
      </c>
      <c r="D18" s="12" t="str">
        <f t="shared" si="3"/>
        <v>vis</v>
      </c>
      <c r="E18" s="48">
        <f>VLOOKUP(C18,Active!C$21:E$973,3,FALSE)</f>
        <v>5697.0102191999349</v>
      </c>
      <c r="F18" s="3" t="s">
        <v>57</v>
      </c>
      <c r="G18" s="12" t="str">
        <f t="shared" si="4"/>
        <v>54899.8229</v>
      </c>
      <c r="H18" s="10">
        <f t="shared" si="5"/>
        <v>5697</v>
      </c>
      <c r="I18" s="49" t="s">
        <v>96</v>
      </c>
      <c r="J18" s="50" t="s">
        <v>97</v>
      </c>
      <c r="K18" s="49">
        <v>5697</v>
      </c>
      <c r="L18" s="49" t="s">
        <v>98</v>
      </c>
      <c r="M18" s="50" t="s">
        <v>94</v>
      </c>
      <c r="N18" s="50" t="s">
        <v>57</v>
      </c>
      <c r="O18" s="51" t="s">
        <v>84</v>
      </c>
      <c r="P18" s="52" t="s">
        <v>99</v>
      </c>
    </row>
    <row r="19" spans="1:16" ht="12.75" customHeight="1" thickBot="1" x14ac:dyDescent="0.25">
      <c r="A19" s="10" t="str">
        <f t="shared" si="0"/>
        <v>BAVM 209 </v>
      </c>
      <c r="B19" s="3" t="str">
        <f t="shared" si="1"/>
        <v>I</v>
      </c>
      <c r="C19" s="10">
        <f t="shared" si="2"/>
        <v>54931.3946</v>
      </c>
      <c r="D19" s="12" t="str">
        <f t="shared" si="3"/>
        <v>vis</v>
      </c>
      <c r="E19" s="48">
        <f>VLOOKUP(C19,Active!C$21:E$973,3,FALSE)</f>
        <v>5771.9724670440273</v>
      </c>
      <c r="F19" s="3" t="s">
        <v>57</v>
      </c>
      <c r="G19" s="12" t="str">
        <f t="shared" si="4"/>
        <v>54931.3946</v>
      </c>
      <c r="H19" s="10">
        <f t="shared" si="5"/>
        <v>5772</v>
      </c>
      <c r="I19" s="49" t="s">
        <v>100</v>
      </c>
      <c r="J19" s="50" t="s">
        <v>101</v>
      </c>
      <c r="K19" s="49">
        <v>5772</v>
      </c>
      <c r="L19" s="49" t="s">
        <v>102</v>
      </c>
      <c r="M19" s="50" t="s">
        <v>94</v>
      </c>
      <c r="N19" s="50" t="s">
        <v>103</v>
      </c>
      <c r="O19" s="51" t="s">
        <v>104</v>
      </c>
      <c r="P19" s="52" t="s">
        <v>105</v>
      </c>
    </row>
    <row r="20" spans="1:16" ht="12.75" customHeight="1" thickBot="1" x14ac:dyDescent="0.25">
      <c r="A20" s="10" t="str">
        <f t="shared" si="0"/>
        <v>BAVM 209 </v>
      </c>
      <c r="B20" s="3" t="str">
        <f t="shared" si="1"/>
        <v>II</v>
      </c>
      <c r="C20" s="10">
        <f t="shared" si="2"/>
        <v>54931.625800000002</v>
      </c>
      <c r="D20" s="12" t="str">
        <f t="shared" si="3"/>
        <v>vis</v>
      </c>
      <c r="E20" s="48">
        <f>VLOOKUP(C20,Active!C$21:E$973,3,FALSE)</f>
        <v>5772.5214166318447</v>
      </c>
      <c r="F20" s="3" t="s">
        <v>57</v>
      </c>
      <c r="G20" s="12" t="str">
        <f t="shared" si="4"/>
        <v>54931.6258</v>
      </c>
      <c r="H20" s="10">
        <f t="shared" si="5"/>
        <v>5772.5</v>
      </c>
      <c r="I20" s="49" t="s">
        <v>106</v>
      </c>
      <c r="J20" s="50" t="s">
        <v>107</v>
      </c>
      <c r="K20" s="49" t="s">
        <v>108</v>
      </c>
      <c r="L20" s="49" t="s">
        <v>109</v>
      </c>
      <c r="M20" s="50" t="s">
        <v>94</v>
      </c>
      <c r="N20" s="50" t="s">
        <v>103</v>
      </c>
      <c r="O20" s="51" t="s">
        <v>104</v>
      </c>
      <c r="P20" s="52" t="s">
        <v>105</v>
      </c>
    </row>
    <row r="21" spans="1:16" ht="12.75" customHeight="1" thickBot="1" x14ac:dyDescent="0.25">
      <c r="A21" s="10" t="str">
        <f t="shared" si="0"/>
        <v>BAVM 215 </v>
      </c>
      <c r="B21" s="3" t="str">
        <f t="shared" si="1"/>
        <v>I</v>
      </c>
      <c r="C21" s="10">
        <f t="shared" si="2"/>
        <v>55600.643499999998</v>
      </c>
      <c r="D21" s="12" t="str">
        <f t="shared" si="3"/>
        <v>vis</v>
      </c>
      <c r="E21" s="48">
        <f>VLOOKUP(C21,Active!C$21:E$973,3,FALSE)</f>
        <v>7361.0032101204206</v>
      </c>
      <c r="F21" s="3" t="s">
        <v>57</v>
      </c>
      <c r="G21" s="12" t="str">
        <f t="shared" si="4"/>
        <v>55600.6435</v>
      </c>
      <c r="H21" s="10">
        <f t="shared" si="5"/>
        <v>7361</v>
      </c>
      <c r="I21" s="49" t="s">
        <v>110</v>
      </c>
      <c r="J21" s="50" t="s">
        <v>111</v>
      </c>
      <c r="K21" s="49" t="s">
        <v>112</v>
      </c>
      <c r="L21" s="49" t="s">
        <v>113</v>
      </c>
      <c r="M21" s="50" t="s">
        <v>94</v>
      </c>
      <c r="N21" s="50" t="s">
        <v>114</v>
      </c>
      <c r="O21" s="51" t="s">
        <v>115</v>
      </c>
      <c r="P21" s="52" t="s">
        <v>116</v>
      </c>
    </row>
    <row r="22" spans="1:16" ht="12.75" customHeight="1" thickBot="1" x14ac:dyDescent="0.25">
      <c r="A22" s="10" t="str">
        <f t="shared" si="0"/>
        <v>IBVS 5034 </v>
      </c>
      <c r="B22" s="3" t="str">
        <f t="shared" si="1"/>
        <v>II</v>
      </c>
      <c r="C22" s="10">
        <f t="shared" si="2"/>
        <v>51708.415200000003</v>
      </c>
      <c r="D22" s="12" t="str">
        <f t="shared" si="3"/>
        <v>vis</v>
      </c>
      <c r="E22" s="48">
        <f>VLOOKUP(C22,Active!C$21:E$973,3,FALSE)</f>
        <v>-1880.5068286289506</v>
      </c>
      <c r="F22" s="3" t="s">
        <v>57</v>
      </c>
      <c r="G22" s="12" t="str">
        <f t="shared" si="4"/>
        <v>51708.4152</v>
      </c>
      <c r="H22" s="10">
        <f t="shared" si="5"/>
        <v>-1880.5</v>
      </c>
      <c r="I22" s="49" t="s">
        <v>66</v>
      </c>
      <c r="J22" s="50" t="s">
        <v>67</v>
      </c>
      <c r="K22" s="49">
        <v>-1880.5</v>
      </c>
      <c r="L22" s="49" t="s">
        <v>68</v>
      </c>
      <c r="M22" s="50" t="s">
        <v>62</v>
      </c>
      <c r="N22" s="50" t="s">
        <v>63</v>
      </c>
      <c r="O22" s="51" t="s">
        <v>69</v>
      </c>
      <c r="P22" s="52" t="s">
        <v>70</v>
      </c>
    </row>
    <row r="23" spans="1:16" ht="12.75" customHeight="1" thickBot="1" x14ac:dyDescent="0.25">
      <c r="A23" s="10" t="str">
        <f t="shared" si="0"/>
        <v>BAVM 241 (=IBVS 6157) </v>
      </c>
      <c r="B23" s="3" t="str">
        <f t="shared" si="1"/>
        <v>II</v>
      </c>
      <c r="C23" s="10">
        <f t="shared" si="2"/>
        <v>57125.4787</v>
      </c>
      <c r="D23" s="12" t="str">
        <f t="shared" si="3"/>
        <v>vis</v>
      </c>
      <c r="E23" s="48">
        <f>VLOOKUP(C23,Active!C$21:E$973,3,FALSE)</f>
        <v>10981.49479542605</v>
      </c>
      <c r="F23" s="3" t="s">
        <v>57</v>
      </c>
      <c r="G23" s="12" t="str">
        <f t="shared" si="4"/>
        <v>57125.4787</v>
      </c>
      <c r="H23" s="10">
        <f t="shared" si="5"/>
        <v>10981.5</v>
      </c>
      <c r="I23" s="49" t="s">
        <v>117</v>
      </c>
      <c r="J23" s="50" t="s">
        <v>118</v>
      </c>
      <c r="K23" s="49" t="s">
        <v>119</v>
      </c>
      <c r="L23" s="49" t="s">
        <v>120</v>
      </c>
      <c r="M23" s="50" t="s">
        <v>94</v>
      </c>
      <c r="N23" s="50" t="s">
        <v>114</v>
      </c>
      <c r="O23" s="51" t="s">
        <v>115</v>
      </c>
      <c r="P23" s="52" t="s">
        <v>121</v>
      </c>
    </row>
    <row r="24" spans="1:16" x14ac:dyDescent="0.2">
      <c r="B24" s="3"/>
      <c r="E24" s="48"/>
      <c r="F24" s="3"/>
    </row>
    <row r="25" spans="1:16" x14ac:dyDescent="0.2">
      <c r="B25" s="3"/>
      <c r="E25" s="48"/>
      <c r="F25" s="3"/>
    </row>
    <row r="26" spans="1:16" x14ac:dyDescent="0.2">
      <c r="B26" s="3"/>
      <c r="E26" s="48"/>
      <c r="F26" s="3"/>
    </row>
    <row r="27" spans="1:16" x14ac:dyDescent="0.2">
      <c r="B27" s="3"/>
      <c r="E27" s="48"/>
      <c r="F27" s="3"/>
    </row>
    <row r="28" spans="1:16" x14ac:dyDescent="0.2">
      <c r="B28" s="3"/>
      <c r="E28" s="48"/>
      <c r="F28" s="3"/>
    </row>
    <row r="29" spans="1:16" x14ac:dyDescent="0.2">
      <c r="B29" s="3"/>
      <c r="E29" s="48"/>
      <c r="F29" s="3"/>
    </row>
    <row r="30" spans="1:16" x14ac:dyDescent="0.2">
      <c r="B30" s="3"/>
      <c r="E30" s="48"/>
      <c r="F30" s="3"/>
    </row>
    <row r="31" spans="1:16" x14ac:dyDescent="0.2">
      <c r="B31" s="3"/>
      <c r="E31" s="48"/>
      <c r="F31" s="3"/>
    </row>
    <row r="32" spans="1:16" x14ac:dyDescent="0.2">
      <c r="B32" s="3"/>
      <c r="E32" s="48"/>
      <c r="F32" s="3"/>
    </row>
    <row r="33" spans="2:6" x14ac:dyDescent="0.2">
      <c r="B33" s="3"/>
      <c r="E33" s="48"/>
      <c r="F33" s="3"/>
    </row>
    <row r="34" spans="2:6" x14ac:dyDescent="0.2">
      <c r="B34" s="3"/>
      <c r="E34" s="48"/>
      <c r="F34" s="3"/>
    </row>
    <row r="35" spans="2:6" x14ac:dyDescent="0.2">
      <c r="B35" s="3"/>
      <c r="E35" s="48"/>
      <c r="F35" s="3"/>
    </row>
    <row r="36" spans="2:6" x14ac:dyDescent="0.2">
      <c r="B36" s="3"/>
      <c r="E36" s="48"/>
      <c r="F36" s="3"/>
    </row>
    <row r="37" spans="2:6" x14ac:dyDescent="0.2">
      <c r="B37" s="3"/>
      <c r="E37" s="48"/>
      <c r="F37" s="3"/>
    </row>
    <row r="38" spans="2:6" x14ac:dyDescent="0.2">
      <c r="B38" s="3"/>
      <c r="E38" s="48"/>
      <c r="F38" s="3"/>
    </row>
    <row r="39" spans="2:6" x14ac:dyDescent="0.2">
      <c r="B39" s="3"/>
      <c r="E39" s="48"/>
      <c r="F39" s="3"/>
    </row>
    <row r="40" spans="2:6" x14ac:dyDescent="0.2">
      <c r="B40" s="3"/>
      <c r="E40" s="48"/>
      <c r="F40" s="3"/>
    </row>
    <row r="41" spans="2:6" x14ac:dyDescent="0.2">
      <c r="B41" s="3"/>
      <c r="E41" s="48"/>
      <c r="F41" s="3"/>
    </row>
    <row r="42" spans="2:6" x14ac:dyDescent="0.2">
      <c r="B42" s="3"/>
      <c r="E42" s="48"/>
      <c r="F42" s="3"/>
    </row>
    <row r="43" spans="2:6" x14ac:dyDescent="0.2">
      <c r="B43" s="3"/>
      <c r="E43" s="48"/>
      <c r="F43" s="3"/>
    </row>
    <row r="44" spans="2:6" x14ac:dyDescent="0.2">
      <c r="B44" s="3"/>
      <c r="E44" s="48"/>
      <c r="F44" s="3"/>
    </row>
    <row r="45" spans="2:6" x14ac:dyDescent="0.2">
      <c r="B45" s="3"/>
      <c r="E45" s="48"/>
      <c r="F45" s="3"/>
    </row>
    <row r="46" spans="2:6" x14ac:dyDescent="0.2">
      <c r="B46" s="3"/>
      <c r="E46" s="48"/>
      <c r="F46" s="3"/>
    </row>
    <row r="47" spans="2:6" x14ac:dyDescent="0.2">
      <c r="B47" s="3"/>
      <c r="E47" s="48"/>
      <c r="F47" s="3"/>
    </row>
    <row r="48" spans="2:6" x14ac:dyDescent="0.2">
      <c r="B48" s="3"/>
      <c r="E48" s="48"/>
      <c r="F48" s="3"/>
    </row>
    <row r="49" spans="2:6" x14ac:dyDescent="0.2">
      <c r="B49" s="3"/>
      <c r="E49" s="48"/>
      <c r="F49" s="3"/>
    </row>
    <row r="50" spans="2:6" x14ac:dyDescent="0.2">
      <c r="B50" s="3"/>
      <c r="E50" s="48"/>
      <c r="F50" s="3"/>
    </row>
    <row r="51" spans="2:6" x14ac:dyDescent="0.2">
      <c r="B51" s="3"/>
      <c r="E51" s="48"/>
      <c r="F51" s="3"/>
    </row>
    <row r="52" spans="2:6" x14ac:dyDescent="0.2">
      <c r="B52" s="3"/>
      <c r="E52" s="48"/>
      <c r="F52" s="3"/>
    </row>
    <row r="53" spans="2:6" x14ac:dyDescent="0.2">
      <c r="B53" s="3"/>
      <c r="E53" s="48"/>
      <c r="F53" s="3"/>
    </row>
    <row r="54" spans="2:6" x14ac:dyDescent="0.2">
      <c r="B54" s="3"/>
      <c r="E54" s="48"/>
      <c r="F54" s="3"/>
    </row>
    <row r="55" spans="2:6" x14ac:dyDescent="0.2">
      <c r="B55" s="3"/>
      <c r="E55" s="48"/>
      <c r="F55" s="3"/>
    </row>
    <row r="56" spans="2:6" x14ac:dyDescent="0.2">
      <c r="B56" s="3"/>
      <c r="E56" s="48"/>
      <c r="F56" s="3"/>
    </row>
    <row r="57" spans="2:6" x14ac:dyDescent="0.2">
      <c r="B57" s="3"/>
      <c r="E57" s="48"/>
      <c r="F57" s="3"/>
    </row>
    <row r="58" spans="2:6" x14ac:dyDescent="0.2">
      <c r="B58" s="3"/>
      <c r="E58" s="48"/>
      <c r="F58" s="3"/>
    </row>
    <row r="59" spans="2:6" x14ac:dyDescent="0.2">
      <c r="B59" s="3"/>
      <c r="E59" s="48"/>
      <c r="F59" s="3"/>
    </row>
    <row r="60" spans="2:6" x14ac:dyDescent="0.2">
      <c r="B60" s="3"/>
      <c r="E60" s="48"/>
      <c r="F60" s="3"/>
    </row>
    <row r="61" spans="2:6" x14ac:dyDescent="0.2">
      <c r="B61" s="3"/>
      <c r="E61" s="48"/>
      <c r="F61" s="3"/>
    </row>
    <row r="62" spans="2:6" x14ac:dyDescent="0.2">
      <c r="B62" s="3"/>
      <c r="E62" s="48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</sheetData>
  <phoneticPr fontId="8" type="noConversion"/>
  <hyperlinks>
    <hyperlink ref="P22" r:id="rId1" display="http://www.konkoly.hu/cgi-bin/IBVS?5034"/>
    <hyperlink ref="P12" r:id="rId2" display="http://www.konkoly.hu/cgi-bin/IBVS?5623"/>
    <hyperlink ref="P13" r:id="rId3" display="http://www.konkoly.hu/cgi-bin/IBVS?5606"/>
    <hyperlink ref="P14" r:id="rId4" display="http://www.konkoly.hu/cgi-bin/IBVS?5603"/>
    <hyperlink ref="P15" r:id="rId5" display="http://www.konkoly.hu/cgi-bin/IBVS?5606"/>
    <hyperlink ref="P16" r:id="rId6" display="http://www.konkoly.hu/cgi-bin/IBVS?5606"/>
    <hyperlink ref="P17" r:id="rId7" display="http://www.konkoly.hu/cgi-bin/IBVS?5870"/>
    <hyperlink ref="P18" r:id="rId8" display="http://www.konkoly.hu/cgi-bin/IBVS?5938"/>
    <hyperlink ref="P19" r:id="rId9" display="http://www.bav-astro.de/sfs/BAVM_link.php?BAVMnr=209"/>
    <hyperlink ref="P20" r:id="rId10" display="http://www.bav-astro.de/sfs/BAVM_link.php?BAVMnr=209"/>
    <hyperlink ref="P21" r:id="rId11" display="http://www.bav-astro.de/sfs/BAVM_link.php?BAVMnr=215"/>
    <hyperlink ref="P23" r:id="rId12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2023-01-16T03:55:14Z</dcterms:modified>
</cp:coreProperties>
</file>