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5D117FB5-318C-49D2-8A2A-7C26BFDDD92B}" xr6:coauthVersionLast="47" xr6:coauthVersionMax="47" xr10:uidLastSave="{00000000-0000-0000-0000-000000000000}"/>
  <bookViews>
    <workbookView xWindow="13635" yWindow="88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5" i="1"/>
  <c r="D9" i="1"/>
  <c r="C9" i="1"/>
  <c r="Q23" i="1"/>
  <c r="F16" i="1"/>
  <c r="Q22" i="1"/>
  <c r="C21" i="1"/>
  <c r="E21" i="1" s="1"/>
  <c r="F21" i="1" s="1"/>
  <c r="G21" i="1" s="1"/>
  <c r="H21" i="1" s="1"/>
  <c r="R22" i="1"/>
  <c r="A21" i="1"/>
  <c r="C7" i="1"/>
  <c r="C8" i="1"/>
  <c r="E23" i="1" s="1"/>
  <c r="F23" i="1" s="1"/>
  <c r="G23" i="1" s="1"/>
  <c r="K23" i="1" s="1"/>
  <c r="Q21" i="1"/>
  <c r="C17" i="1"/>
  <c r="E24" i="1" l="1"/>
  <c r="F24" i="1" s="1"/>
  <c r="G24" i="1" s="1"/>
  <c r="K24" i="1" s="1"/>
  <c r="E22" i="1"/>
  <c r="F22" i="1" s="1"/>
  <c r="G22" i="1" s="1"/>
  <c r="E25" i="1"/>
  <c r="F25" i="1" s="1"/>
  <c r="G25" i="1" s="1"/>
  <c r="K25" i="1" s="1"/>
  <c r="F17" i="1"/>
  <c r="C12" i="1"/>
  <c r="C11" i="1"/>
  <c r="O24" i="1" l="1"/>
  <c r="C15" i="1"/>
  <c r="F18" i="1" s="1"/>
  <c r="F19" i="1" s="1"/>
  <c r="O23" i="1"/>
  <c r="O21" i="1"/>
  <c r="O22" i="1"/>
  <c r="O25" i="1"/>
  <c r="C16" i="1"/>
  <c r="D18" i="1" s="1"/>
  <c r="K22" i="1"/>
  <c r="C18" i="1" l="1"/>
</calcChain>
</file>

<file path=xl/sharedStrings.xml><?xml version="1.0" encoding="utf-8"?>
<sst xmlns="http://schemas.openxmlformats.org/spreadsheetml/2006/main" count="57" uniqueCount="50">
  <si>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</si>
  <si>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</si>
  <si>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</si>
  <si>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</si>
  <si>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</si>
  <si>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</si>
  <si>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</si>
  <si>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</si>
  <si>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</si>
  <si>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</si>
  <si>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</si>
  <si>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</si>
  <si>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</si>
  <si>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</si>
  <si>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</si>
  <si>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</si>
  <si>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</si>
  <si>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</si>
  <si>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</si>
  <si>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</si>
  <si>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</si>
  <si>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</si>
  <si>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</si>
  <si>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</si>
  <si>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</si>
  <si>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</si>
  <si>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</si>
  <si>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</si>
  <si>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</si>
  <si>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</si>
  <si>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</si>
  <si>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</si>
  <si>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</si>
  <si>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</si>
  <si>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G8412-0737_Ind.xls</t>
  </si>
  <si>
    <t>EB/KE</t>
  </si>
  <si>
    <t>IBVS 5532 Eph.</t>
  </si>
  <si>
    <t>IBVS 5532</t>
  </si>
  <si>
    <t>Ind</t>
  </si>
  <si>
    <t>CO Ind / GSC 8412-0737  / NSV 13404</t>
  </si>
  <si>
    <t>OEJV 0179</t>
  </si>
  <si>
    <t>I</t>
  </si>
  <si>
    <t>pg</t>
  </si>
  <si>
    <t>vis</t>
  </si>
  <si>
    <t>PE</t>
  </si>
  <si>
    <t>CCD</t>
  </si>
  <si>
    <t>Add cycle</t>
  </si>
  <si>
    <t>Old Cycle</t>
  </si>
  <si>
    <t>JAVSO 49, 251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</si>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</sst>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Ind - O-C Diagr.</a:t>
            </a:r>
          </a:p>
        </c:rich>
      </c:tx>
      <c:layout>
        <c:manualLayout>
          <c:xMode val="edge"/>
          <c:yMode val="edge"/>
          <c:x val="0.397774687065368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6-4931-9C70-B5CBA1125F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6-4931-9C70-B5CBA1125F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6-4931-9C70-B5CBA1125F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7.9560000012861565E-3</c:v>
                </c:pt>
                <c:pt idx="2">
                  <c:v>1.3701000003493391E-2</c:v>
                </c:pt>
                <c:pt idx="3">
                  <c:v>1.1304999999993015E-2</c:v>
                </c:pt>
                <c:pt idx="4">
                  <c:v>1.133500000287313E-2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6-4931-9C70-B5CBA1125F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6-4931-9C70-B5CBA1125F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6-4931-9C70-B5CBA1125F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  <c:pt idx="3">
                    <c:v>1.32E-3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6-4931-9C70-B5CBA1125F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9116</c:v>
                </c:pt>
                <c:pt idx="2">
                  <c:v>10341</c:v>
                </c:pt>
                <c:pt idx="3">
                  <c:v>10955</c:v>
                </c:pt>
                <c:pt idx="4">
                  <c:v>10985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-7.571138795267135E-3</c:v>
                </c:pt>
                <c:pt idx="1">
                  <c:v>8.8524053528672465E-3</c:v>
                </c:pt>
                <c:pt idx="2">
                  <c:v>1.1059386658425013E-2</c:v>
                </c:pt>
                <c:pt idx="3">
                  <c:v>1.2165579737292334E-2</c:v>
                </c:pt>
                <c:pt idx="4">
                  <c:v>1.2219628259061099E-2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6-4931-9C70-B5CBA112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187224"/>
        <c:axId val="1"/>
      </c:scatterChart>
      <c:valAx>
        <c:axId val="923187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187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30C27BF-818C-2D56-F424-CF1072799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39</v>
      </c>
      <c r="E1" s="29"/>
      <c r="F1" s="30"/>
      <c r="G1" s="31" t="s">
        <v>35</v>
      </c>
      <c r="H1" s="32" t="s">
        <v>36</v>
      </c>
      <c r="I1" s="33">
        <v>52175.542999999998</v>
      </c>
      <c r="J1" s="33">
        <v>0.59795900000000002</v>
      </c>
      <c r="K1" s="32" t="s">
        <v>37</v>
      </c>
      <c r="L1" s="34" t="s">
        <v>38</v>
      </c>
    </row>
    <row r="2" spans="1:12">
      <c r="A2" t="s">
        <v>23</v>
      </c>
      <c r="B2" t="s">
        <v>35</v>
      </c>
      <c r="C2" s="9" t="s">
        <v>38</v>
      </c>
      <c r="D2" t="s">
        <v>34</v>
      </c>
    </row>
    <row r="3" spans="1:12" ht="13.5" thickBot="1"/>
    <row r="4" spans="1:12" ht="14.25" thickTop="1" thickBot="1">
      <c r="A4" s="28" t="s">
        <v>36</v>
      </c>
      <c r="C4" s="7">
        <v>52175.542999999998</v>
      </c>
      <c r="D4" s="8">
        <v>0.59795900000000002</v>
      </c>
    </row>
    <row r="5" spans="1:12" ht="13.5" thickTop="1">
      <c r="A5" s="10" t="s">
        <v>28</v>
      </c>
      <c r="B5" s="11"/>
      <c r="C5" s="12">
        <v>-9.5</v>
      </c>
      <c r="D5" s="11" t="s">
        <v>29</v>
      </c>
    </row>
    <row r="6" spans="1:12">
      <c r="A6" s="4" t="s">
        <v>1</v>
      </c>
    </row>
    <row r="7" spans="1:12">
      <c r="A7" t="s">
        <v>2</v>
      </c>
      <c r="C7">
        <f>+C4</f>
        <v>52175.542999999998</v>
      </c>
    </row>
    <row r="8" spans="1:12">
      <c r="A8" t="s">
        <v>3</v>
      </c>
      <c r="C8">
        <f>+D4</f>
        <v>0.59795900000000002</v>
      </c>
    </row>
    <row r="9" spans="1:1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15</v>
      </c>
      <c r="B11" s="11"/>
      <c r="C11" s="23">
        <f ca="1">INTERCEPT(INDIRECT($D$9):G992,INDIRECT($C$9):F992)</f>
        <v>-7.571138795267135E-3</v>
      </c>
      <c r="D11" s="13"/>
      <c r="E11" s="11"/>
    </row>
    <row r="12" spans="1:12">
      <c r="A12" s="11" t="s">
        <v>16</v>
      </c>
      <c r="B12" s="11"/>
      <c r="C12" s="23">
        <f ca="1">SLOPE(INDIRECT($D$9):G992,INDIRECT($C$9):F992)</f>
        <v>1.8016173922920557E-6</v>
      </c>
      <c r="D12" s="13"/>
      <c r="E12" s="11"/>
    </row>
    <row r="13" spans="1:12">
      <c r="A13" s="11" t="s">
        <v>18</v>
      </c>
      <c r="B13" s="11"/>
      <c r="C13" s="13" t="s">
        <v>13</v>
      </c>
    </row>
    <row r="14" spans="1:12">
      <c r="A14" s="11"/>
      <c r="B14" s="11"/>
      <c r="C14" s="11"/>
    </row>
    <row r="15" spans="1:12">
      <c r="A15" s="14" t="s">
        <v>17</v>
      </c>
      <c r="B15" s="11"/>
      <c r="C15" s="15">
        <f ca="1">(C7+C11)+(C8+C12)*INT(MAX(F21:F3533))</f>
        <v>58744.134834628254</v>
      </c>
      <c r="E15" s="16" t="s">
        <v>46</v>
      </c>
      <c r="F15" s="37">
        <v>1</v>
      </c>
    </row>
    <row r="16" spans="1:12">
      <c r="A16" s="18" t="s">
        <v>4</v>
      </c>
      <c r="B16" s="11"/>
      <c r="C16" s="19">
        <f ca="1">+C8+C12</f>
        <v>0.59796080161739229</v>
      </c>
      <c r="E16" s="16" t="s">
        <v>30</v>
      </c>
      <c r="F16" s="38">
        <f ca="1">NOW()+15018.5+$C$5/24</f>
        <v>59960.812543171291</v>
      </c>
    </row>
    <row r="17" spans="1:18" ht="13.5" thickBot="1">
      <c r="A17" s="16" t="s">
        <v>27</v>
      </c>
      <c r="B17" s="11"/>
      <c r="C17" s="11">
        <f>COUNT(C21:C2191)</f>
        <v>5</v>
      </c>
      <c r="E17" s="16" t="s">
        <v>47</v>
      </c>
      <c r="F17" s="17">
        <f ca="1">ROUND(2*(F16-$C$7)/$C$8,0)/2+F15</f>
        <v>13020.5</v>
      </c>
    </row>
    <row r="18" spans="1:18" ht="14.25" thickTop="1" thickBot="1">
      <c r="A18" s="18" t="s">
        <v>5</v>
      </c>
      <c r="B18" s="11"/>
      <c r="C18" s="21">
        <f ca="1">+C15</f>
        <v>58744.134834628254</v>
      </c>
      <c r="D18" s="22">
        <f ca="1">+C16</f>
        <v>0.59796080161739229</v>
      </c>
      <c r="E18" s="16" t="s">
        <v>31</v>
      </c>
      <c r="F18" s="25">
        <f ca="1">ROUND(2*(F16-$C$15)/$C$16,0)/2+F15</f>
        <v>2035.5</v>
      </c>
    </row>
    <row r="19" spans="1:18" ht="13.5" thickTop="1">
      <c r="E19" s="16" t="s">
        <v>32</v>
      </c>
      <c r="F19" s="20">
        <f ca="1">+$C$15+$C$16*F18-15018.5-$C$5/24</f>
        <v>44943.179879653791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42</v>
      </c>
      <c r="I20" s="6" t="s">
        <v>43</v>
      </c>
      <c r="J20" s="6" t="s">
        <v>44</v>
      </c>
      <c r="K20" s="6" t="s">
        <v>45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8">
      <c r="A21" t="str">
        <f>$K$1</f>
        <v>IBVS 5532</v>
      </c>
      <c r="C21" s="9">
        <f>+$C$4</f>
        <v>52175.542999999998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-7.571138795267135E-3</v>
      </c>
      <c r="Q21" s="2">
        <f>+C21-15018.5</f>
        <v>37157.042999999998</v>
      </c>
    </row>
    <row r="22" spans="1:18">
      <c r="A22" s="39" t="s">
        <v>40</v>
      </c>
      <c r="B22" s="40" t="s">
        <v>41</v>
      </c>
      <c r="C22" s="41">
        <v>57626.5452</v>
      </c>
      <c r="D22" s="41">
        <v>4.0000000000000002E-4</v>
      </c>
      <c r="E22">
        <f>+(C22-C$7)/C$8</f>
        <v>9116.0133052600631</v>
      </c>
      <c r="F22">
        <f>ROUND(2*E22,0)/2</f>
        <v>9116</v>
      </c>
      <c r="G22">
        <f>+C22-(C$7+F22*C$8)</f>
        <v>7.9560000012861565E-3</v>
      </c>
      <c r="K22">
        <f>+G22</f>
        <v>7.9560000012861565E-3</v>
      </c>
      <c r="O22">
        <f ca="1">+C$11+C$12*$F22</f>
        <v>8.8524053528672465E-3</v>
      </c>
      <c r="Q22" s="2">
        <f>+C22-15018.5</f>
        <v>42608.0452</v>
      </c>
      <c r="R22" t="str">
        <f>IF(ABS(C22-C21)&lt;0.00001,1,"")</f>
        <v/>
      </c>
    </row>
    <row r="23" spans="1:18">
      <c r="A23" s="36" t="s">
        <v>0</v>
      </c>
      <c r="B23" s="35" t="s">
        <v>41</v>
      </c>
      <c r="C23" s="36">
        <v>58359.050719999999</v>
      </c>
      <c r="D23" s="36">
        <v>8.9999999999999998E-4</v>
      </c>
      <c r="E23">
        <f>+(C23-C$7)/C$8</f>
        <v>10341.022912942193</v>
      </c>
      <c r="F23">
        <f>ROUND(2*E23,0)/2</f>
        <v>10341</v>
      </c>
      <c r="G23">
        <f>+C23-(C$7+F23*C$8)</f>
        <v>1.3701000003493391E-2</v>
      </c>
      <c r="K23">
        <f>+G23</f>
        <v>1.3701000003493391E-2</v>
      </c>
      <c r="O23">
        <f ca="1">+C$11+C$12*$F23</f>
        <v>1.1059386658425013E-2</v>
      </c>
      <c r="Q23" s="2">
        <f>+C23-15018.5</f>
        <v>43340.550719999999</v>
      </c>
    </row>
    <row r="24" spans="1:18">
      <c r="A24" s="42" t="s">
        <v>48</v>
      </c>
      <c r="B24" s="43" t="s">
        <v>49</v>
      </c>
      <c r="C24" s="44">
        <v>58726.19515</v>
      </c>
      <c r="D24" s="44">
        <v>1.32E-3</v>
      </c>
      <c r="E24">
        <f>+(C24-C$7)/C$8</f>
        <v>10955.018905978506</v>
      </c>
      <c r="F24">
        <f>ROUND(2*E24,0)/2</f>
        <v>10955</v>
      </c>
      <c r="G24">
        <f>+C24-(C$7+F24*C$8)</f>
        <v>1.1304999999993015E-2</v>
      </c>
      <c r="K24">
        <f>+G24</f>
        <v>1.1304999999993015E-2</v>
      </c>
      <c r="O24">
        <f ca="1">+C$11+C$12*$F24</f>
        <v>1.2165579737292334E-2</v>
      </c>
      <c r="Q24" s="2">
        <f>+C24-15018.5</f>
        <v>43707.69515</v>
      </c>
    </row>
    <row r="25" spans="1:18">
      <c r="A25" s="42" t="s">
        <v>48</v>
      </c>
      <c r="B25" s="43" t="s">
        <v>49</v>
      </c>
      <c r="C25" s="44">
        <v>58744.133950000003</v>
      </c>
      <c r="D25" s="44">
        <v>1.1999999999999999E-3</v>
      </c>
      <c r="E25">
        <f>+(C25-C$7)/C$8</f>
        <v>10985.018956149175</v>
      </c>
      <c r="F25">
        <f>ROUND(2*E25,0)/2</f>
        <v>10985</v>
      </c>
      <c r="G25">
        <f>+C25-(C$7+F25*C$8)</f>
        <v>1.133500000287313E-2</v>
      </c>
      <c r="K25">
        <f>+G25</f>
        <v>1.133500000287313E-2</v>
      </c>
      <c r="O25">
        <f ca="1">+C$11+C$12*$F25</f>
        <v>1.2219628259061099E-2</v>
      </c>
      <c r="Q25" s="2">
        <f>+C25-15018.5</f>
        <v>43725.633950000003</v>
      </c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64047" r:id="rId1" display="http://vsolj.cetus-net.org/bulletin.html"/>
    <hyperlink ref="H64040" r:id="rId2" display="https://www.aavso.org/ejaavso"/>
    <hyperlink ref="I64047" r:id="rId3" display="http://vsolj.cetus-net.org/bulletin.html"/>
    <hyperlink ref="AQ57698" r:id="rId4" display="http://cdsbib.u-strasbg.fr/cgi-bin/cdsbib?1990RMxAA..21..381G"/>
    <hyperlink ref="H64044" r:id="rId5" display="https://www.aavso.org/ejaavso"/>
    <hyperlink ref="AP5062" r:id="rId6" display="http://cdsbib.u-strasbg.fr/cgi-bin/cdsbib?1990RMxAA..21..381G"/>
    <hyperlink ref="AP5065" r:id="rId7" display="http://cdsbib.u-strasbg.fr/cgi-bin/cdsbib?1990RMxAA..21..381G"/>
    <hyperlink ref="AP5063" r:id="rId8" display="http://cdsbib.u-strasbg.fr/cgi-bin/cdsbib?1990RMxAA..21..381G"/>
    <hyperlink ref="AP5047" r:id="rId9" display="http://cdsbib.u-strasbg.fr/cgi-bin/cdsbib?1990RMxAA..21..381G"/>
    <hyperlink ref="AQ5276" r:id="rId10" display="http://cdsbib.u-strasbg.fr/cgi-bin/cdsbib?1990RMxAA..21..381G"/>
    <hyperlink ref="AQ5280" r:id="rId11" display="http://cdsbib.u-strasbg.fr/cgi-bin/cdsbib?1990RMxAA..21..381G"/>
    <hyperlink ref="AQ64960" r:id="rId12" display="http://cdsbib.u-strasbg.fr/cgi-bin/cdsbib?1990RMxAA..21..381G"/>
    <hyperlink ref="I2168" r:id="rId13" display="http://vsolj.cetus-net.org/bulletin.html"/>
    <hyperlink ref="H2168" r:id="rId14" display="http://vsolj.cetus-net.org/bulletin.html"/>
    <hyperlink ref="AQ85" r:id="rId15" display="http://cdsbib.u-strasbg.fr/cgi-bin/cdsbib?1990RMxAA..21..381G"/>
    <hyperlink ref="AQ84" r:id="rId16" display="http://cdsbib.u-strasbg.fr/cgi-bin/cdsbib?1990RMxAA..21..381G"/>
    <hyperlink ref="AP3338" r:id="rId17" display="http://cdsbib.u-strasbg.fr/cgi-bin/cdsbib?1990RMxAA..21..381G"/>
    <hyperlink ref="AP3356" r:id="rId18" display="http://cdsbib.u-strasbg.fr/cgi-bin/cdsbib?1990RMxAA..21..381G"/>
    <hyperlink ref="AP3357" r:id="rId19" display="http://cdsbib.u-strasbg.fr/cgi-bin/cdsbib?1990RMxAA..21..381G"/>
    <hyperlink ref="AP335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2023-01-16T06:30:03Z</dcterms:modified>
</cp:coreProperties>
</file>