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A222C93-94D7-4ACD-AF43-A7465CA534E0}" xr6:coauthVersionLast="47" xr6:coauthVersionMax="47" xr10:uidLastSave="{00000000-0000-0000-0000-000000000000}"/>
  <bookViews>
    <workbookView xWindow="13290" yWindow="13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5" i="1"/>
  <c r="Q26" i="1"/>
  <c r="D9" i="1"/>
  <c r="C9" i="1"/>
  <c r="Q22" i="1"/>
  <c r="Q23" i="1"/>
  <c r="C21" i="1"/>
  <c r="Q21" i="1" s="1"/>
  <c r="A21" i="1"/>
  <c r="C7" i="1"/>
  <c r="E25" i="1" s="1"/>
  <c r="F25" i="1" s="1"/>
  <c r="G25" i="1" s="1"/>
  <c r="K25" i="1" s="1"/>
  <c r="C8" i="1"/>
  <c r="E22" i="1" s="1"/>
  <c r="F22" i="1" s="1"/>
  <c r="F17" i="1"/>
  <c r="C17" i="1"/>
  <c r="E23" i="1" l="1"/>
  <c r="F23" i="1" s="1"/>
  <c r="G23" i="1" s="1"/>
  <c r="K23" i="1" s="1"/>
  <c r="E24" i="1"/>
  <c r="F24" i="1" s="1"/>
  <c r="G24" i="1" s="1"/>
  <c r="K24" i="1" s="1"/>
  <c r="G22" i="1"/>
  <c r="K22" i="1" s="1"/>
  <c r="E26" i="1"/>
  <c r="F26" i="1" s="1"/>
  <c r="G26" i="1" s="1"/>
  <c r="K26" i="1" s="1"/>
  <c r="R22" i="1"/>
  <c r="E21" i="1"/>
  <c r="F21" i="1" s="1"/>
  <c r="G21" i="1" s="1"/>
  <c r="C11" i="1"/>
  <c r="C12" i="1"/>
  <c r="O25" i="1" l="1"/>
  <c r="O24" i="1"/>
  <c r="C16" i="1"/>
  <c r="D18" i="1" s="1"/>
  <c r="O22" i="1"/>
  <c r="C15" i="1"/>
  <c r="C18" i="1" s="1"/>
  <c r="O23" i="1"/>
  <c r="O26" i="1"/>
  <c r="O21" i="1"/>
  <c r="K21" i="1"/>
  <c r="F18" i="1" l="1"/>
  <c r="F19" i="1" s="1"/>
</calcChain>
</file>

<file path=xl/sharedStrings.xml><?xml version="1.0" encoding="utf-8"?>
<sst xmlns="http://schemas.openxmlformats.org/spreadsheetml/2006/main" count="56" uniqueCount="48">
  <si>
    <t>OEJV 0189</t>
  </si>
  <si>
    <t>PE</t>
  </si>
  <si>
    <t>I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</si>
  <si>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</si>
  <si>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</si>
  <si>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</si>
  <si>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</si>
  <si>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</si>
  <si>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</si>
  <si>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</si>
  <si>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</si>
  <si>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</si>
  <si>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</si>
  <si>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</si>
  <si>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</si>
  <si>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</si>
  <si>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</si>
  <si>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</si>
  <si>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</si>
  <si>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</si>
  <si>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</si>
  <si>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</si>
  <si>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</si>
  <si>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</si>
  <si>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</si>
  <si>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</si>
  <si>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</si>
  <si>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</si>
  <si>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</si>
  <si>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</si>
  <si>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</si>
  <si>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</si>
  <si>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</si>
  <si>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</si>
  <si>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</si>
  <si>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</si>
  <si>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</si>
  <si>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</si>
  <si>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</si>
  <si>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Ind</t>
  </si>
  <si>
    <t>EW</t>
  </si>
  <si>
    <t>IBVS 5686 Eph.</t>
  </si>
  <si>
    <t>IBVS 5686</t>
  </si>
  <si>
    <t>G9337-1951_Ind.xls</t>
  </si>
  <si>
    <t>CU Ind / GSC 9337-1951</t>
  </si>
  <si>
    <t>vis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</si>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</sst>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Ind - O-C Diagr.</a:t>
            </a:r>
          </a:p>
        </c:rich>
      </c:tx>
      <c:layout>
        <c:manualLayout>
          <c:xMode val="edge"/>
          <c:yMode val="edge"/>
          <c:x val="0.38947368421052631"/>
          <c:y val="4.678362573099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C-480E-B41A-E36712EDEB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C-480E-B41A-E36712EDEB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5C-480E-B41A-E36712EDEB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6.9274999332264997E-3</c:v>
                </c:pt>
                <c:pt idx="2">
                  <c:v>6.3329998301924206E-3</c:v>
                </c:pt>
                <c:pt idx="3">
                  <c:v>8.5405002173501998E-3</c:v>
                </c:pt>
                <c:pt idx="4">
                  <c:v>6.7109999945387244E-3</c:v>
                </c:pt>
                <c:pt idx="5">
                  <c:v>6.7934999970020726E-3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5C-480E-B41A-E36712EDEB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5C-480E-B41A-E36712EDE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5C-480E-B41A-E36712EDE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5C-480E-B41A-E36712EDEB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20623.5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7.2623470433464711E-5</c:v>
                </c:pt>
                <c:pt idx="1">
                  <c:v>6.5042946192220971E-3</c:v>
                </c:pt>
                <c:pt idx="2">
                  <c:v>6.5173585199963498E-3</c:v>
                </c:pt>
                <c:pt idx="3">
                  <c:v>7.2745127690956261E-3</c:v>
                </c:pt>
                <c:pt idx="4">
                  <c:v>7.2746967676980811E-3</c:v>
                </c:pt>
                <c:pt idx="5">
                  <c:v>7.6620138258642967E-3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5C-480E-B41A-E36712ED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493272"/>
        <c:axId val="1"/>
      </c:scatterChart>
      <c:valAx>
        <c:axId val="76349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9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AE7255A-3784-1EB6-3A98-FF938E007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29"/>
      <c r="F1" s="31" t="s">
        <v>39</v>
      </c>
      <c r="G1" s="29" t="s">
        <v>40</v>
      </c>
      <c r="H1" s="32" t="s">
        <v>41</v>
      </c>
      <c r="I1" s="30">
        <v>52134.686000000002</v>
      </c>
      <c r="J1" s="30">
        <v>0.33725899999999998</v>
      </c>
      <c r="K1" s="33" t="s">
        <v>42</v>
      </c>
      <c r="L1" s="34" t="s">
        <v>43</v>
      </c>
    </row>
    <row r="2" spans="1:12" x14ac:dyDescent="0.2">
      <c r="A2" t="s">
        <v>28</v>
      </c>
      <c r="B2" t="s">
        <v>40</v>
      </c>
      <c r="C2" s="9"/>
      <c r="D2" s="9"/>
    </row>
    <row r="3" spans="1:12" ht="13.5" thickBot="1" x14ac:dyDescent="0.25"/>
    <row r="4" spans="1:12" ht="14.25" thickTop="1" thickBot="1" x14ac:dyDescent="0.25">
      <c r="A4" s="28" t="s">
        <v>41</v>
      </c>
      <c r="C4" s="7">
        <v>52134.686000000002</v>
      </c>
      <c r="D4" s="8">
        <v>0.33725899999999998</v>
      </c>
    </row>
    <row r="5" spans="1:12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12" x14ac:dyDescent="0.2">
      <c r="A6" s="4" t="s">
        <v>6</v>
      </c>
    </row>
    <row r="7" spans="1:12" x14ac:dyDescent="0.2">
      <c r="A7" t="s">
        <v>7</v>
      </c>
      <c r="C7">
        <f>+C4</f>
        <v>52134.686000000002</v>
      </c>
    </row>
    <row r="8" spans="1:12" x14ac:dyDescent="0.2">
      <c r="A8" t="s">
        <v>8</v>
      </c>
      <c r="C8">
        <f>+D4</f>
        <v>0.33725899999999998</v>
      </c>
    </row>
    <row r="9" spans="1:12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12" x14ac:dyDescent="0.2">
      <c r="A11" s="11" t="s">
        <v>20</v>
      </c>
      <c r="B11" s="11"/>
      <c r="C11" s="23">
        <f ca="1">INTERCEPT(INDIRECT($D$9):G991,INDIRECT($C$9):F991)</f>
        <v>7.2623470433464711E-5</v>
      </c>
      <c r="D11" s="13"/>
      <c r="E11" s="11"/>
    </row>
    <row r="12" spans="1:12" x14ac:dyDescent="0.2">
      <c r="A12" s="11" t="s">
        <v>21</v>
      </c>
      <c r="B12" s="11"/>
      <c r="C12" s="23">
        <f ca="1">SLOPE(INDIRECT($D$9):G991,INDIRECT($C$9):F991)</f>
        <v>3.6799720490851852E-7</v>
      </c>
      <c r="D12" s="13"/>
      <c r="E12" s="11"/>
    </row>
    <row r="13" spans="1:12" x14ac:dyDescent="0.2">
      <c r="A13" s="11" t="s">
        <v>23</v>
      </c>
      <c r="B13" s="11"/>
      <c r="C13" s="13" t="s">
        <v>18</v>
      </c>
    </row>
    <row r="14" spans="1:12" x14ac:dyDescent="0.2">
      <c r="A14" s="11"/>
      <c r="B14" s="11"/>
      <c r="C14" s="11"/>
    </row>
    <row r="15" spans="1:12" x14ac:dyDescent="0.2">
      <c r="A15" s="14" t="s">
        <v>22</v>
      </c>
      <c r="B15" s="11"/>
      <c r="C15" s="15">
        <f ca="1">(C7+C11)+(C8+C12)*INT(MAX(F21:F3532))</f>
        <v>59089.986018829833</v>
      </c>
      <c r="E15" s="13"/>
      <c r="F15" s="11"/>
    </row>
    <row r="16" spans="1:12" x14ac:dyDescent="0.2">
      <c r="A16" s="18" t="s">
        <v>9</v>
      </c>
      <c r="B16" s="11"/>
      <c r="C16" s="19">
        <f ca="1">+C8+C12</f>
        <v>0.33725936799720491</v>
      </c>
      <c r="E16" s="11"/>
      <c r="F16" s="11"/>
    </row>
    <row r="17" spans="1:18" ht="13.5" thickBot="1" x14ac:dyDescent="0.25">
      <c r="A17" s="16" t="s">
        <v>32</v>
      </c>
      <c r="B17" s="11"/>
      <c r="C17" s="11">
        <f>COUNT(C21:C2190)</f>
        <v>6</v>
      </c>
      <c r="E17" s="16" t="s">
        <v>35</v>
      </c>
      <c r="F17" s="17">
        <f ca="1">TODAY()+15018.5-B5/24</f>
        <v>59960.5</v>
      </c>
    </row>
    <row r="18" spans="1:18" ht="14.25" thickTop="1" thickBot="1" x14ac:dyDescent="0.25">
      <c r="A18" s="18" t="s">
        <v>10</v>
      </c>
      <c r="B18" s="11"/>
      <c r="C18" s="21">
        <f ca="1">+C15</f>
        <v>59089.986018829833</v>
      </c>
      <c r="D18" s="22">
        <f ca="1">+C16</f>
        <v>0.33725936799720491</v>
      </c>
      <c r="E18" s="16" t="s">
        <v>36</v>
      </c>
      <c r="F18" s="17">
        <f ca="1">ROUND(2*(F17-C15)/C16,0)/2+1</f>
        <v>2582</v>
      </c>
    </row>
    <row r="19" spans="1:18" ht="13.5" thickTop="1" x14ac:dyDescent="0.2">
      <c r="E19" s="16" t="s">
        <v>37</v>
      </c>
      <c r="F19" s="20">
        <f ca="1">+C15+C16*F18-15018.5-C5/24</f>
        <v>44942.68554033195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45</v>
      </c>
      <c r="J20" s="6" t="s">
        <v>1</v>
      </c>
      <c r="K20" s="6" t="s">
        <v>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8" x14ac:dyDescent="0.2">
      <c r="A21" t="str">
        <f>$K$1</f>
        <v>IBVS 5686</v>
      </c>
      <c r="C21" s="9">
        <f>+$C$4</f>
        <v>52134.686000000002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7.2623470433464711E-5</v>
      </c>
      <c r="Q21" s="2">
        <f>+C21-15018.5</f>
        <v>37116.186000000002</v>
      </c>
    </row>
    <row r="22" spans="1:18" x14ac:dyDescent="0.2">
      <c r="A22" s="35" t="s">
        <v>0</v>
      </c>
      <c r="B22" s="36" t="s">
        <v>3</v>
      </c>
      <c r="C22" s="35">
        <v>58029.137099999934</v>
      </c>
      <c r="D22" s="35">
        <v>5.0000000000000001E-4</v>
      </c>
      <c r="E22">
        <f>+(C22-C$7)/C$8</f>
        <v>17477.520540593232</v>
      </c>
      <c r="F22">
        <f>ROUND(2*E22,0)/2</f>
        <v>17477.5</v>
      </c>
      <c r="G22">
        <f>+C22-(C$7+F22*C$8)</f>
        <v>6.9274999332264997E-3</v>
      </c>
      <c r="K22">
        <f>+G22</f>
        <v>6.9274999332264997E-3</v>
      </c>
      <c r="O22">
        <f ca="1">+C$11+C$12*$F22</f>
        <v>6.5042946192220971E-3</v>
      </c>
      <c r="Q22" s="2">
        <f>+C22-15018.5</f>
        <v>43010.637099999934</v>
      </c>
      <c r="R22" t="str">
        <f>IF(ABS(C22-C21)&lt;0.00001,1,"")</f>
        <v/>
      </c>
    </row>
    <row r="23" spans="1:18" x14ac:dyDescent="0.2">
      <c r="A23" s="35" t="s">
        <v>0</v>
      </c>
      <c r="B23" s="36" t="s">
        <v>2</v>
      </c>
      <c r="C23" s="35">
        <v>58041.109199999832</v>
      </c>
      <c r="D23" s="35">
        <v>2.0000000000000001E-4</v>
      </c>
      <c r="E23">
        <f>+(C23-C$7)/C$8</f>
        <v>17513.018777852722</v>
      </c>
      <c r="F23">
        <f>ROUND(2*E23,0)/2</f>
        <v>17513</v>
      </c>
      <c r="G23">
        <f>+C23-(C$7+F23*C$8)</f>
        <v>6.3329998301924206E-3</v>
      </c>
      <c r="K23">
        <f>+G23</f>
        <v>6.3329998301924206E-3</v>
      </c>
      <c r="O23">
        <f ca="1">+C$11+C$12*$F23</f>
        <v>6.5173585199963498E-3</v>
      </c>
      <c r="Q23" s="2">
        <f>+C23-15018.5</f>
        <v>43022.609199999832</v>
      </c>
    </row>
    <row r="24" spans="1:18" ht="12" customHeight="1" x14ac:dyDescent="0.2">
      <c r="A24" s="40" t="s">
        <v>47</v>
      </c>
      <c r="B24" s="41" t="s">
        <v>3</v>
      </c>
      <c r="C24" s="42">
        <v>58735.021800000221</v>
      </c>
      <c r="D24" s="40">
        <v>8.7000000000000001E-4</v>
      </c>
      <c r="E24">
        <f>+(C24-C$7)/C$8</f>
        <v>19570.525323268525</v>
      </c>
      <c r="F24">
        <f>ROUND(2*E24,0)/2</f>
        <v>19570.5</v>
      </c>
      <c r="G24">
        <f>+C24-(C$7+F24*C$8)</f>
        <v>8.5405002173501998E-3</v>
      </c>
      <c r="K24">
        <f>+G24</f>
        <v>8.5405002173501998E-3</v>
      </c>
      <c r="O24">
        <f ca="1">+C$11+C$12*$F24</f>
        <v>7.2745127690956261E-3</v>
      </c>
      <c r="Q24" s="2">
        <f>+C24-15018.5</f>
        <v>43716.521800000221</v>
      </c>
    </row>
    <row r="25" spans="1:18" ht="12" customHeight="1" x14ac:dyDescent="0.2">
      <c r="A25" s="40" t="s">
        <v>47</v>
      </c>
      <c r="B25" s="41" t="s">
        <v>2</v>
      </c>
      <c r="C25" s="42">
        <v>58735.188599999994</v>
      </c>
      <c r="D25" s="40">
        <v>9.8999999999999999E-4</v>
      </c>
      <c r="E25">
        <f>+(C25-C$7)/C$8</f>
        <v>19571.019898653536</v>
      </c>
      <c r="F25">
        <f>ROUND(2*E25,0)/2</f>
        <v>19571</v>
      </c>
      <c r="G25">
        <f>+C25-(C$7+F25*C$8)</f>
        <v>6.7109999945387244E-3</v>
      </c>
      <c r="K25">
        <f>+G25</f>
        <v>6.7109999945387244E-3</v>
      </c>
      <c r="O25">
        <f ca="1">+C$11+C$12*$F25</f>
        <v>7.2746967676980811E-3</v>
      </c>
      <c r="Q25" s="2">
        <f>+C25-15018.5</f>
        <v>43716.688599999994</v>
      </c>
    </row>
    <row r="26" spans="1:18" ht="12" customHeight="1" x14ac:dyDescent="0.2">
      <c r="A26" s="37" t="s">
        <v>46</v>
      </c>
      <c r="B26" s="38" t="s">
        <v>2</v>
      </c>
      <c r="C26" s="39">
        <v>59090.153780000001</v>
      </c>
      <c r="D26" s="39">
        <v>1.23E-3</v>
      </c>
      <c r="E26">
        <f>+(C26-C$7)/C$8</f>
        <v>20623.520143272675</v>
      </c>
      <c r="F26">
        <f>ROUND(2*E26,0)/2</f>
        <v>20623.5</v>
      </c>
      <c r="G26">
        <f>+C26-(C$7+F26*C$8)</f>
        <v>6.7934999970020726E-3</v>
      </c>
      <c r="K26">
        <f>+G26</f>
        <v>6.7934999970020726E-3</v>
      </c>
      <c r="O26">
        <f ca="1">+C$11+C$12*$F26</f>
        <v>7.6620138258642967E-3</v>
      </c>
      <c r="Q26" s="2">
        <f>+C26-15018.5</f>
        <v>44071.653780000001</v>
      </c>
    </row>
    <row r="27" spans="1:18" ht="12" customHeight="1" x14ac:dyDescent="0.2">
      <c r="C27" s="9"/>
      <c r="D27" s="9"/>
      <c r="Q27" s="2"/>
    </row>
    <row r="28" spans="1:18" ht="12" customHeight="1" x14ac:dyDescent="0.2">
      <c r="C28" s="9"/>
      <c r="D28" s="9"/>
      <c r="Q28" s="2"/>
    </row>
    <row r="29" spans="1:18" ht="12" customHeight="1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Q26">
    <sortCondition ref="C21:C26"/>
  </sortState>
  <phoneticPr fontId="8" type="noConversion"/>
  <hyperlinks>
    <hyperlink ref="H64278" r:id="rId1" display="http://vsolj.cetus-net.org/bulletin.html"/>
    <hyperlink ref="H64271" r:id="rId2" display="https://www.aavso.org/ejaavso"/>
    <hyperlink ref="AP422" r:id="rId3" display="http://cdsbib.u-strasbg.fr/cgi-bin/cdsbib?1990RMxAA..21..381G"/>
    <hyperlink ref="AP426" r:id="rId4" display="http://cdsbib.u-strasbg.fr/cgi-bin/cdsbib?1990RMxAA..21..381G"/>
    <hyperlink ref="AP425" r:id="rId5" display="http://cdsbib.u-strasbg.fr/cgi-bin/cdsbib?1990RMxAA..21..381G"/>
    <hyperlink ref="AP406" r:id="rId6" display="http://cdsbib.u-strasbg.fr/cgi-bin/cdsbib?1990RMxAA..21..381G"/>
    <hyperlink ref="I64278" r:id="rId7" display="http://vsolj.cetus-net.org/bulletin.html"/>
    <hyperlink ref="AQ562" r:id="rId8" display="http://cdsbib.u-strasbg.fr/cgi-bin/cdsbib?1990RMxAA..21..381G"/>
    <hyperlink ref="AQ55328" r:id="rId9" display="http://cdsbib.u-strasbg.fr/cgi-bin/cdsbib?1990RMxAA..21..381G"/>
    <hyperlink ref="AQ563" r:id="rId10" display="http://cdsbib.u-strasbg.fr/cgi-bin/cdsbib?1990RMxAA..21..381G"/>
    <hyperlink ref="H64275" r:id="rId11" display="https://www.aavso.org/ejaavso"/>
    <hyperlink ref="H1448" r:id="rId12" display="http://vsolj.cetus-net.org/bulletin.html"/>
    <hyperlink ref="AP2692" r:id="rId13" display="http://cdsbib.u-strasbg.fr/cgi-bin/cdsbib?1990RMxAA..21..381G"/>
    <hyperlink ref="AP2695" r:id="rId14" display="http://cdsbib.u-strasbg.fr/cgi-bin/cdsbib?1990RMxAA..21..381G"/>
    <hyperlink ref="AP2693" r:id="rId15" display="http://cdsbib.u-strasbg.fr/cgi-bin/cdsbib?1990RMxAA..21..381G"/>
    <hyperlink ref="AP2677" r:id="rId16" display="http://cdsbib.u-strasbg.fr/cgi-bin/cdsbib?1990RMxAA..21..381G"/>
    <hyperlink ref="I1448" r:id="rId17" display="http://vsolj.cetus-net.org/bulletin.html"/>
    <hyperlink ref="AQ2906" r:id="rId18" display="http://cdsbib.u-strasbg.fr/cgi-bin/cdsbib?1990RMxAA..21..381G"/>
    <hyperlink ref="AQ65143" r:id="rId19" display="http://cdsbib.u-strasbg.fr/cgi-bin/cdsbib?1990RMxAA..21..381G"/>
    <hyperlink ref="AQ291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2023-01-16T06:32:36Z</dcterms:modified>
</cp:coreProperties>
</file>