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9300431-3DB7-47E5-BE18-313762B1B826}" xr6:coauthVersionLast="47" xr6:coauthVersionMax="47" xr10:uidLastSave="{00000000-0000-0000-0000-000000000000}"/>
  <bookViews>
    <workbookView xWindow="14580" yWindow="118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8" i="1" l="1"/>
  <c r="F78" i="1" s="1"/>
  <c r="G78" i="1" s="1"/>
  <c r="K78" i="1" s="1"/>
  <c r="Q78" i="1"/>
  <c r="Q77" i="1"/>
  <c r="C7" i="1"/>
  <c r="E77" i="1"/>
  <c r="F77" i="1"/>
  <c r="C8" i="1"/>
  <c r="E25" i="1"/>
  <c r="F25" i="1"/>
  <c r="E33" i="1"/>
  <c r="F33" i="1"/>
  <c r="E38" i="1"/>
  <c r="F38" i="1"/>
  <c r="E40" i="1"/>
  <c r="F40" i="1"/>
  <c r="G40" i="1"/>
  <c r="H40" i="1"/>
  <c r="E41" i="1"/>
  <c r="F41" i="1"/>
  <c r="E46" i="1"/>
  <c r="F46" i="1"/>
  <c r="E48" i="1"/>
  <c r="F48" i="1"/>
  <c r="G48" i="1"/>
  <c r="H48" i="1"/>
  <c r="E49" i="1"/>
  <c r="F49" i="1"/>
  <c r="E54" i="1"/>
  <c r="F54" i="1"/>
  <c r="E57" i="1"/>
  <c r="F57" i="1"/>
  <c r="G57" i="1"/>
  <c r="I57" i="1"/>
  <c r="E58" i="1"/>
  <c r="F58" i="1"/>
  <c r="E61" i="1"/>
  <c r="F61" i="1"/>
  <c r="E69" i="1"/>
  <c r="F69" i="1"/>
  <c r="G69" i="1"/>
  <c r="I69" i="1"/>
  <c r="E74" i="1"/>
  <c r="F74" i="1"/>
  <c r="E56" i="1"/>
  <c r="F56" i="1"/>
  <c r="G56" i="1"/>
  <c r="E63" i="1"/>
  <c r="F63" i="1"/>
  <c r="E68" i="1"/>
  <c r="F68" i="1"/>
  <c r="G68" i="1"/>
  <c r="I68" i="1"/>
  <c r="D9" i="1"/>
  <c r="C9" i="1"/>
  <c r="Q76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7" i="1"/>
  <c r="Q58" i="1"/>
  <c r="Q59" i="1"/>
  <c r="Q60" i="1"/>
  <c r="Q61" i="1"/>
  <c r="Q62" i="1"/>
  <c r="Q69" i="1"/>
  <c r="Q71" i="1"/>
  <c r="Q72" i="1"/>
  <c r="Q73" i="1"/>
  <c r="Q74" i="1"/>
  <c r="G12" i="2"/>
  <c r="C12" i="2"/>
  <c r="G59" i="2"/>
  <c r="C59" i="2"/>
  <c r="E59" i="2"/>
  <c r="G58" i="2"/>
  <c r="C58" i="2"/>
  <c r="G57" i="2"/>
  <c r="C57" i="2"/>
  <c r="G56" i="2"/>
  <c r="C56" i="2"/>
  <c r="G13" i="2"/>
  <c r="C13" i="2"/>
  <c r="G55" i="2"/>
  <c r="C55" i="2"/>
  <c r="E55" i="2"/>
  <c r="G54" i="2"/>
  <c r="C54" i="2"/>
  <c r="G53" i="2"/>
  <c r="C53" i="2"/>
  <c r="E53" i="2"/>
  <c r="G52" i="2"/>
  <c r="C52" i="2"/>
  <c r="G51" i="2"/>
  <c r="C51" i="2"/>
  <c r="G50" i="2"/>
  <c r="C50" i="2"/>
  <c r="E50" i="2"/>
  <c r="G49" i="2"/>
  <c r="C49" i="2"/>
  <c r="E49" i="2"/>
  <c r="G11" i="2"/>
  <c r="C11" i="2"/>
  <c r="E11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E41" i="2"/>
  <c r="G40" i="2"/>
  <c r="C40" i="2"/>
  <c r="G39" i="2"/>
  <c r="C39" i="2"/>
  <c r="E39" i="2"/>
  <c r="G38" i="2"/>
  <c r="C38" i="2"/>
  <c r="G37" i="2"/>
  <c r="C37" i="2"/>
  <c r="G36" i="2"/>
  <c r="C36" i="2"/>
  <c r="G35" i="2"/>
  <c r="C35" i="2"/>
  <c r="G34" i="2"/>
  <c r="C34" i="2"/>
  <c r="E34" i="2"/>
  <c r="G33" i="2"/>
  <c r="C33" i="2"/>
  <c r="E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H12" i="2"/>
  <c r="B12" i="2"/>
  <c r="D12" i="2"/>
  <c r="A12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13" i="2"/>
  <c r="B13" i="2"/>
  <c r="D13" i="2"/>
  <c r="A13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11" i="2"/>
  <c r="B11" i="2"/>
  <c r="D11" i="2"/>
  <c r="A11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Q70" i="1"/>
  <c r="Q75" i="1"/>
  <c r="F16" i="1"/>
  <c r="F17" i="1" s="1"/>
  <c r="C17" i="1"/>
  <c r="Q63" i="1"/>
  <c r="Q64" i="1"/>
  <c r="Q65" i="1"/>
  <c r="Q66" i="1"/>
  <c r="Q67" i="1"/>
  <c r="Q68" i="1"/>
  <c r="Q56" i="1"/>
  <c r="H56" i="1"/>
  <c r="E36" i="2"/>
  <c r="E19" i="2"/>
  <c r="E25" i="2"/>
  <c r="E54" i="2"/>
  <c r="E48" i="2"/>
  <c r="E38" i="2"/>
  <c r="E22" i="2"/>
  <c r="E28" i="2"/>
  <c r="E46" i="2"/>
  <c r="E51" i="2"/>
  <c r="E30" i="2"/>
  <c r="E52" i="2"/>
  <c r="E30" i="1"/>
  <c r="F30" i="1"/>
  <c r="G30" i="1"/>
  <c r="H30" i="1"/>
  <c r="E22" i="1"/>
  <c r="F22" i="1"/>
  <c r="G22" i="1"/>
  <c r="H22" i="1"/>
  <c r="E65" i="1"/>
  <c r="F65" i="1"/>
  <c r="E60" i="1"/>
  <c r="F60" i="1"/>
  <c r="G60" i="1"/>
  <c r="I60" i="1"/>
  <c r="E51" i="1"/>
  <c r="F51" i="1"/>
  <c r="G51" i="1"/>
  <c r="H51" i="1"/>
  <c r="G45" i="1"/>
  <c r="H45" i="1"/>
  <c r="E43" i="1"/>
  <c r="F43" i="1"/>
  <c r="G43" i="1"/>
  <c r="H43" i="1"/>
  <c r="G37" i="1"/>
  <c r="H37" i="1"/>
  <c r="E35" i="1"/>
  <c r="F35" i="1"/>
  <c r="G35" i="1"/>
  <c r="H35" i="1"/>
  <c r="G29" i="1"/>
  <c r="H29" i="1"/>
  <c r="E27" i="1"/>
  <c r="F27" i="1"/>
  <c r="G27" i="1"/>
  <c r="H27" i="1"/>
  <c r="G74" i="1"/>
  <c r="K74" i="1"/>
  <c r="G70" i="1"/>
  <c r="I70" i="1"/>
  <c r="E32" i="1"/>
  <c r="F32" i="1"/>
  <c r="G32" i="1"/>
  <c r="H32" i="1"/>
  <c r="G26" i="1"/>
  <c r="H26" i="1"/>
  <c r="E24" i="1"/>
  <c r="F24" i="1"/>
  <c r="G24" i="1"/>
  <c r="H24" i="1"/>
  <c r="E67" i="1"/>
  <c r="F67" i="1"/>
  <c r="G67" i="1"/>
  <c r="I67" i="1"/>
  <c r="E64" i="1"/>
  <c r="F64" i="1"/>
  <c r="U64" i="1"/>
  <c r="E73" i="1"/>
  <c r="F73" i="1"/>
  <c r="E62" i="1"/>
  <c r="F62" i="1"/>
  <c r="G62" i="1"/>
  <c r="I62" i="1"/>
  <c r="G55" i="1"/>
  <c r="H55" i="1"/>
  <c r="E53" i="1"/>
  <c r="F53" i="1"/>
  <c r="G53" i="1"/>
  <c r="H53" i="1"/>
  <c r="G47" i="1"/>
  <c r="H47" i="1"/>
  <c r="E45" i="1"/>
  <c r="F45" i="1"/>
  <c r="E37" i="1"/>
  <c r="F37" i="1"/>
  <c r="E29" i="1"/>
  <c r="F29" i="1"/>
  <c r="G23" i="1"/>
  <c r="H23" i="1"/>
  <c r="E21" i="1"/>
  <c r="F21" i="1"/>
  <c r="G21" i="1"/>
  <c r="G73" i="1"/>
  <c r="K73" i="1"/>
  <c r="E75" i="1"/>
  <c r="F75" i="1"/>
  <c r="G75" i="1"/>
  <c r="K75" i="1"/>
  <c r="U63" i="1"/>
  <c r="E72" i="1"/>
  <c r="F72" i="1"/>
  <c r="G61" i="1"/>
  <c r="I61" i="1"/>
  <c r="E59" i="1"/>
  <c r="F59" i="1"/>
  <c r="G59" i="1"/>
  <c r="I59" i="1"/>
  <c r="G52" i="1"/>
  <c r="H52" i="1"/>
  <c r="E50" i="1"/>
  <c r="F50" i="1"/>
  <c r="G50" i="1"/>
  <c r="H50" i="1"/>
  <c r="G44" i="1"/>
  <c r="H44" i="1"/>
  <c r="E42" i="1"/>
  <c r="F42" i="1"/>
  <c r="G42" i="1"/>
  <c r="H42" i="1"/>
  <c r="E34" i="1"/>
  <c r="F34" i="1"/>
  <c r="G34" i="1"/>
  <c r="H34" i="1"/>
  <c r="E26" i="1"/>
  <c r="F26" i="1"/>
  <c r="G77" i="1"/>
  <c r="K77" i="1"/>
  <c r="E70" i="1"/>
  <c r="F70" i="1"/>
  <c r="E71" i="1"/>
  <c r="F71" i="1"/>
  <c r="G71" i="1"/>
  <c r="K71" i="1"/>
  <c r="G58" i="1"/>
  <c r="I58" i="1"/>
  <c r="E55" i="1"/>
  <c r="F55" i="1"/>
  <c r="G49" i="1"/>
  <c r="H49" i="1"/>
  <c r="E47" i="1"/>
  <c r="F47" i="1"/>
  <c r="G41" i="1"/>
  <c r="H41" i="1"/>
  <c r="E39" i="1"/>
  <c r="F39" i="1"/>
  <c r="G39" i="1"/>
  <c r="H39" i="1"/>
  <c r="G33" i="1"/>
  <c r="H33" i="1"/>
  <c r="E31" i="1"/>
  <c r="F31" i="1"/>
  <c r="G31" i="1"/>
  <c r="H31" i="1"/>
  <c r="G25" i="1"/>
  <c r="H25" i="1"/>
  <c r="E23" i="1"/>
  <c r="F23" i="1"/>
  <c r="E76" i="1"/>
  <c r="F76" i="1"/>
  <c r="G76" i="1"/>
  <c r="K76" i="1"/>
  <c r="E66" i="1"/>
  <c r="F66" i="1"/>
  <c r="U66" i="1"/>
  <c r="G72" i="1"/>
  <c r="K72" i="1"/>
  <c r="G54" i="1"/>
  <c r="H54" i="1"/>
  <c r="E52" i="1"/>
  <c r="F52" i="1"/>
  <c r="G46" i="1"/>
  <c r="H46" i="1"/>
  <c r="E44" i="1"/>
  <c r="F44" i="1"/>
  <c r="G38" i="1"/>
  <c r="H38" i="1"/>
  <c r="E36" i="1"/>
  <c r="F36" i="1"/>
  <c r="G36" i="1"/>
  <c r="H36" i="1"/>
  <c r="E28" i="1"/>
  <c r="F28" i="1"/>
  <c r="G28" i="1"/>
  <c r="H28" i="1"/>
  <c r="U65" i="1"/>
  <c r="H21" i="1"/>
  <c r="E35" i="2"/>
  <c r="E40" i="2"/>
  <c r="E44" i="2"/>
  <c r="E58" i="2"/>
  <c r="E21" i="2"/>
  <c r="E24" i="2"/>
  <c r="E23" i="2"/>
  <c r="E43" i="2"/>
  <c r="E37" i="2"/>
  <c r="E29" i="2"/>
  <c r="E45" i="2"/>
  <c r="E32" i="2"/>
  <c r="E17" i="2"/>
  <c r="E27" i="2"/>
  <c r="E20" i="2"/>
  <c r="E14" i="2"/>
  <c r="E56" i="2"/>
  <c r="E13" i="2"/>
  <c r="E16" i="2"/>
  <c r="E15" i="2"/>
  <c r="E57" i="2"/>
  <c r="E12" i="2"/>
  <c r="C12" i="1"/>
  <c r="C11" i="1"/>
  <c r="O78" i="1" l="1"/>
  <c r="C15" i="1"/>
  <c r="O57" i="1"/>
  <c r="O22" i="1"/>
  <c r="O25" i="1"/>
  <c r="O76" i="1"/>
  <c r="O31" i="1"/>
  <c r="O50" i="1"/>
  <c r="O67" i="1"/>
  <c r="O72" i="1"/>
  <c r="O30" i="1"/>
  <c r="O33" i="1"/>
  <c r="O28" i="1"/>
  <c r="O39" i="1"/>
  <c r="O59" i="1"/>
  <c r="O48" i="1"/>
  <c r="O23" i="1"/>
  <c r="O21" i="1"/>
  <c r="O70" i="1"/>
  <c r="O27" i="1"/>
  <c r="O38" i="1"/>
  <c r="O41" i="1"/>
  <c r="O36" i="1"/>
  <c r="O47" i="1"/>
  <c r="O74" i="1"/>
  <c r="O29" i="1"/>
  <c r="O64" i="1"/>
  <c r="O35" i="1"/>
  <c r="O46" i="1"/>
  <c r="O49" i="1"/>
  <c r="O44" i="1"/>
  <c r="O55" i="1"/>
  <c r="O63" i="1"/>
  <c r="O68" i="1"/>
  <c r="O42" i="1"/>
  <c r="O37" i="1"/>
  <c r="O24" i="1"/>
  <c r="O43" i="1"/>
  <c r="O54" i="1"/>
  <c r="O58" i="1"/>
  <c r="O52" i="1"/>
  <c r="O71" i="1"/>
  <c r="O45" i="1"/>
  <c r="O32" i="1"/>
  <c r="O51" i="1"/>
  <c r="O69" i="1"/>
  <c r="O73" i="1"/>
  <c r="O61" i="1"/>
  <c r="O26" i="1"/>
  <c r="O62" i="1"/>
  <c r="O53" i="1"/>
  <c r="O40" i="1"/>
  <c r="O60" i="1"/>
  <c r="O65" i="1"/>
  <c r="O75" i="1"/>
  <c r="O56" i="1"/>
  <c r="O34" i="1"/>
  <c r="O77" i="1"/>
  <c r="O66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<sst xmlns="http://schemas.openxmlformats.org/spreadsheetml/2006/main" count="528" uniqueCount="244">
  <si>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</si>
  <si>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</si>
  <si>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</si>
  <si>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</si>
  <si>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</si>
  <si>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</si>
  <si>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</si>
  <si>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</si>
  <si>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</si>
  <si>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</si>
  <si>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</si>
  <si>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</si>
  <si>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</si>
  <si>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</si>
  <si>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</si>
  <si>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</si>
  <si>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</si>
  <si>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</si>
  <si>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</si>
  <si>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</si>
  <si>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</si>
  <si>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</si>
  <si>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</si>
  <si>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</si>
  <si>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</si>
  <si>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</si>
  <si>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</si>
  <si>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</si>
  <si>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</si>
  <si>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Bull.20</t>
  </si>
  <si>
    <t>B</t>
  </si>
  <si>
    <t>Diethelm R</t>
  </si>
  <si>
    <t># of data points:</t>
  </si>
  <si>
    <t>EA/SD</t>
  </si>
  <si>
    <t>UW Lac / GSC 03208-00696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</si>
  <si>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</si>
  <si>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</si>
  <si>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</si>
  <si>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</si>
  <si>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</si>
  <si>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</si>
  <si>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</si>
  <si>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</si>
  <si>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OEJV 0137</t>
  </si>
  <si>
    <t>I</t>
  </si>
  <si>
    <t>OEJV 0001</t>
  </si>
  <si>
    <t>vis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</si>
  <si>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</si>
  <si>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</si>
  <si>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</si>
  <si>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</si>
  <si>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</si>
  <si>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</si>
  <si>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</si>
  <si>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</si>
  <si>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</si>
  <si>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</si>
  <si>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</si>
  <si>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</si>
  <si>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</si>
  <si>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2414583.585 </t>
  </si>
  <si>
    <t> 21.10.1898 02:02 </t>
  </si>
  <si>
    <t> 0.403 </t>
  </si>
  <si>
    <t>P </t>
  </si>
  <si>
    <t> J.Ashbrook </t>
  </si>
  <si>
    <t> KVB 31 </t>
  </si>
  <si>
    <t>2416387.671 </t>
  </si>
  <si>
    <t> 30.09.1903 04:06 </t>
  </si>
  <si>
    <t> 0.520 </t>
  </si>
  <si>
    <t>2416440.588 </t>
  </si>
  <si>
    <t> 22.11.1903 02:06 </t>
  </si>
  <si>
    <t> 0.535 </t>
  </si>
  <si>
    <t>2416477.477 </t>
  </si>
  <si>
    <t> 28.12.1903 23:26 </t>
  </si>
  <si>
    <t> 0.392 </t>
  </si>
  <si>
    <t>2416683.833 </t>
  </si>
  <si>
    <t> 22.07.1904 07:59 </t>
  </si>
  <si>
    <t> 0.429 </t>
  </si>
  <si>
    <t>2416821.577 </t>
  </si>
  <si>
    <t> 07.12.1904 01:50 </t>
  </si>
  <si>
    <t> 0.628 </t>
  </si>
  <si>
    <t>2417133.534 </t>
  </si>
  <si>
    <t> 15.10.1905 00:48 </t>
  </si>
  <si>
    <t> 0.461 </t>
  </si>
  <si>
    <t>2417472.12 </t>
  </si>
  <si>
    <t> 18.09.1906 14:52 </t>
  </si>
  <si>
    <t> 0.47 </t>
  </si>
  <si>
    <t> B.W.Kukarkin </t>
  </si>
  <si>
    <t> PZ 3.30 </t>
  </si>
  <si>
    <t>2417482.587 </t>
  </si>
  <si>
    <t> 29.09.1906 02:05 </t>
  </si>
  <si>
    <t> 0.359 </t>
  </si>
  <si>
    <t>2417879.600 </t>
  </si>
  <si>
    <t> 31.10.1907 02:24 </t>
  </si>
  <si>
    <t> 0.605 </t>
  </si>
  <si>
    <t>2418239.26 </t>
  </si>
  <si>
    <t> 24.10.1908 18:14 </t>
  </si>
  <si>
    <t> 0.53 </t>
  </si>
  <si>
    <t>2418958.589 </t>
  </si>
  <si>
    <t> 14.10.1910 02:08 </t>
  </si>
  <si>
    <t> 0.387 </t>
  </si>
  <si>
    <t>2420053.631 </t>
  </si>
  <si>
    <t> 13.10.1913 03:08 </t>
  </si>
  <si>
    <t> 0.351 </t>
  </si>
  <si>
    <t>2421889.617 </t>
  </si>
  <si>
    <t> 23.10.1918 02:48 </t>
  </si>
  <si>
    <t> 0.627 </t>
  </si>
  <si>
    <t>2421963.516 </t>
  </si>
  <si>
    <t> 05.01.1919 00:23 </t>
  </si>
  <si>
    <t> 0.463 </t>
  </si>
  <si>
    <t>2424714.46 </t>
  </si>
  <si>
    <t> 17.07.1926 23:02 </t>
  </si>
  <si>
    <t> 0.49 </t>
  </si>
  <si>
    <t> Guthnick &amp; Prager </t>
  </si>
  <si>
    <t> KVBB 4.25 </t>
  </si>
  <si>
    <t>2425116.30 </t>
  </si>
  <si>
    <t> 23.08.1927 19:12 </t>
  </si>
  <si>
    <t> 0.27 </t>
  </si>
  <si>
    <t>V </t>
  </si>
  <si>
    <t> M.Beyer </t>
  </si>
  <si>
    <t> AN 258.290 </t>
  </si>
  <si>
    <t>2426560.696 </t>
  </si>
  <si>
    <t> 07.08.1931 04:42 </t>
  </si>
  <si>
    <t> 0.433 </t>
  </si>
  <si>
    <t>2426597.760 </t>
  </si>
  <si>
    <t> 13.09.1931 06:14 </t>
  </si>
  <si>
    <t> 0.465 </t>
  </si>
  <si>
    <t>2426634.615 </t>
  </si>
  <si>
    <t> 20.10.1931 02:45 </t>
  </si>
  <si>
    <t> 0.289 </t>
  </si>
  <si>
    <t>2426946.880 </t>
  </si>
  <si>
    <t> 27.08.1932 09:07 </t>
  </si>
  <si>
    <t> 0.430 </t>
  </si>
  <si>
    <t> W.Strohmeier </t>
  </si>
  <si>
    <t>2427719.296 </t>
  </si>
  <si>
    <t> 08.10.1934 19:06 </t>
  </si>
  <si>
    <t> 0.473 </t>
  </si>
  <si>
    <t>2428031.346 </t>
  </si>
  <si>
    <t> 16.08.1935 20:18 </t>
  </si>
  <si>
    <t> 0.399 </t>
  </si>
  <si>
    <t>2429158.17 </t>
  </si>
  <si>
    <t> 16.09.1938 16:04 </t>
  </si>
  <si>
    <t> 0.40 </t>
  </si>
  <si>
    <t> I.M.Istchenko </t>
  </si>
  <si>
    <t> PZ 6.41 </t>
  </si>
  <si>
    <t>2429443.793 </t>
  </si>
  <si>
    <t> 29.06.1939 07:01 </t>
  </si>
  <si>
    <t> 0.355 </t>
  </si>
  <si>
    <t>2433088.646 </t>
  </si>
  <si>
    <t> 21.06.1949 03:30 </t>
  </si>
  <si>
    <t> 0.239 </t>
  </si>
  <si>
    <t> B.S.Whitney </t>
  </si>
  <si>
    <t> AJ 64.258 </t>
  </si>
  <si>
    <t>2433273.778 </t>
  </si>
  <si>
    <t> 23.12.1949 06:40 </t>
  </si>
  <si>
    <t> 0.213 </t>
  </si>
  <si>
    <t>2433887.480 </t>
  </si>
  <si>
    <t> 28.08.1951 23:31 </t>
  </si>
  <si>
    <t> 0.249 </t>
  </si>
  <si>
    <t>2434215.477 </t>
  </si>
  <si>
    <t> 21.07.1952 23:26 </t>
  </si>
  <si>
    <t> 0.251 </t>
  </si>
  <si>
    <t>2434252.475 </t>
  </si>
  <si>
    <t> 27.08.1952 23:24 </t>
  </si>
  <si>
    <t> 0.218 </t>
  </si>
  <si>
    <t>2435246.936 </t>
  </si>
  <si>
    <t> 19.05.1955 10:27 </t>
  </si>
  <si>
    <t> 0.115 </t>
  </si>
  <si>
    <t> H.Huth </t>
  </si>
  <si>
    <t>2435389.793 </t>
  </si>
  <si>
    <t> 09.10.1955 07:01 </t>
  </si>
  <si>
    <t> 0.136 </t>
  </si>
  <si>
    <t>2435712.477 </t>
  </si>
  <si>
    <t> 26.08.1956 23:26 </t>
  </si>
  <si>
    <t> 0.116 </t>
  </si>
  <si>
    <t>2436807.447 </t>
  </si>
  <si>
    <t> 26.08.1959 22:43 </t>
  </si>
  <si>
    <t> 0.009 </t>
  </si>
  <si>
    <t>2437172.442 </t>
  </si>
  <si>
    <t> 25.08.1960 22:36 </t>
  </si>
  <si>
    <t> -0.022 </t>
  </si>
  <si>
    <t>2437188.335 </t>
  </si>
  <si>
    <t> 10.09.1960 20:02 </t>
  </si>
  <si>
    <t> 0.000 </t>
  </si>
  <si>
    <t> G.Romano </t>
  </si>
  <si>
    <t> MSAI 43.323 </t>
  </si>
  <si>
    <t>2437257.145 </t>
  </si>
  <si>
    <t> 18.11.1960 15:28 </t>
  </si>
  <si>
    <t> 0.037 </t>
  </si>
  <si>
    <t>2437516.300 </t>
  </si>
  <si>
    <t> 04.08.1961 19:12 </t>
  </si>
  <si>
    <t> -0.029 </t>
  </si>
  <si>
    <t>2437553.369 </t>
  </si>
  <si>
    <t> 10.09.1961 20:51 </t>
  </si>
  <si>
    <t> 0.008 </t>
  </si>
  <si>
    <t>2437659.180 </t>
  </si>
  <si>
    <t> 25.12.1961 16:19 </t>
  </si>
  <si>
    <t> 0.015 </t>
  </si>
  <si>
    <t>2440505.306 </t>
  </si>
  <si>
    <t> 10.10.1969 19:20 </t>
  </si>
  <si>
    <t>2440854.431 </t>
  </si>
  <si>
    <t> 24.09.1970 22:20 </t>
  </si>
  <si>
    <t> -0.033 </t>
  </si>
  <si>
    <t>2452831.20 </t>
  </si>
  <si>
    <t> 10.07.2003 16:48 </t>
  </si>
  <si>
    <t> -0.35 </t>
  </si>
  <si>
    <t> R.Meyer </t>
  </si>
  <si>
    <t>BAVM 171 </t>
  </si>
  <si>
    <t>2453217.390 </t>
  </si>
  <si>
    <t> 30.07.2004 21:21 </t>
  </si>
  <si>
    <t> -0.342 </t>
  </si>
  <si>
    <t>BAVM 174 </t>
  </si>
  <si>
    <t>2453619.445 </t>
  </si>
  <si>
    <t> 05.09.2005 22:40 </t>
  </si>
  <si>
    <t> -0.344 </t>
  </si>
  <si>
    <t> Meyer </t>
  </si>
  <si>
    <t>BAVM 179 </t>
  </si>
  <si>
    <t>2455042.5219 </t>
  </si>
  <si>
    <t> 30.07.2009 00:31 </t>
  </si>
  <si>
    <t> -0.3393 </t>
  </si>
  <si>
    <t>C </t>
  </si>
  <si>
    <t>-I</t>
  </si>
  <si>
    <t> F.Agerer </t>
  </si>
  <si>
    <t>BAVM 212 </t>
  </si>
  <si>
    <t>2455095.4238 </t>
  </si>
  <si>
    <t> 20.09.2009 22:10 </t>
  </si>
  <si>
    <t>3385</t>
  </si>
  <si>
    <t> -0.3397 </t>
  </si>
  <si>
    <t>2455095.4251 </t>
  </si>
  <si>
    <t> 20.09.2009 22:12 </t>
  </si>
  <si>
    <t> -0.3384 </t>
  </si>
  <si>
    <t>R</t>
  </si>
  <si>
    <t> H.Kucáková </t>
  </si>
  <si>
    <t>OEJV 0137 </t>
  </si>
  <si>
    <t>2457248.5309 </t>
  </si>
  <si>
    <t> 14.08.2015 00:44 </t>
  </si>
  <si>
    <t>3792</t>
  </si>
  <si>
    <t> -0.3563 </t>
  </si>
  <si>
    <t> H.Braunwarth </t>
  </si>
  <si>
    <t>BAVM 241 (=IBVS 6157) </t>
  </si>
  <si>
    <t>BAD?</t>
  </si>
  <si>
    <t>IBVS 6196</t>
  </si>
  <si>
    <t>0.0050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</si>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</sst>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4" fontId="11" fillId="0" borderId="0" xfId="0" applyNumberFormat="1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lac - O-C Diagr.</a:t>
            </a:r>
          </a:p>
        </c:rich>
      </c:tx>
      <c:layout>
        <c:manualLayout>
          <c:xMode val="edge"/>
          <c:yMode val="edge"/>
          <c:x val="0.3790322580645161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769252958613219"/>
          <c:w val="0.8209677419354838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0.40279000000009546</c:v>
                </c:pt>
                <c:pt idx="1">
                  <c:v>0.52035999999861815</c:v>
                </c:pt>
                <c:pt idx="2">
                  <c:v>0.53506000000197673</c:v>
                </c:pt>
                <c:pt idx="3">
                  <c:v>0.39244999999937136</c:v>
                </c:pt>
                <c:pt idx="4">
                  <c:v>0.42947999999887543</c:v>
                </c:pt>
                <c:pt idx="5">
                  <c:v>0.62750000000232831</c:v>
                </c:pt>
                <c:pt idx="6">
                  <c:v>0.46093000000109896</c:v>
                </c:pt>
                <c:pt idx="7">
                  <c:v>0.47220999999990454</c:v>
                </c:pt>
                <c:pt idx="8">
                  <c:v>0.35874999999941792</c:v>
                </c:pt>
                <c:pt idx="9">
                  <c:v>0.60450000000128057</c:v>
                </c:pt>
                <c:pt idx="10">
                  <c:v>0.52885999999853084</c:v>
                </c:pt>
                <c:pt idx="11">
                  <c:v>0.38658000000214088</c:v>
                </c:pt>
                <c:pt idx="12">
                  <c:v>0.35097000000314438</c:v>
                </c:pt>
                <c:pt idx="13">
                  <c:v>0.62716000000000349</c:v>
                </c:pt>
                <c:pt idx="14">
                  <c:v>0.46294000000125379</c:v>
                </c:pt>
                <c:pt idx="15">
                  <c:v>0.48733999999967637</c:v>
                </c:pt>
                <c:pt idx="16">
                  <c:v>0.26986000000033528</c:v>
                </c:pt>
                <c:pt idx="17">
                  <c:v>0.43307000000277185</c:v>
                </c:pt>
                <c:pt idx="18">
                  <c:v>0.46545999999943888</c:v>
                </c:pt>
                <c:pt idx="19">
                  <c:v>0.28885000000082073</c:v>
                </c:pt>
                <c:pt idx="20">
                  <c:v>0.43028000000413158</c:v>
                </c:pt>
                <c:pt idx="21">
                  <c:v>0.47270000000207801</c:v>
                </c:pt>
                <c:pt idx="22">
                  <c:v>0.39913000000160537</c:v>
                </c:pt>
                <c:pt idx="23">
                  <c:v>0.4041399999987334</c:v>
                </c:pt>
                <c:pt idx="24">
                  <c:v>0.35472000000299886</c:v>
                </c:pt>
                <c:pt idx="25">
                  <c:v>0.23924999999871943</c:v>
                </c:pt>
                <c:pt idx="26">
                  <c:v>0.21319999999832362</c:v>
                </c:pt>
                <c:pt idx="27">
                  <c:v>0.24852000000100816</c:v>
                </c:pt>
                <c:pt idx="28">
                  <c:v>0.25125999999727355</c:v>
                </c:pt>
                <c:pt idx="29">
                  <c:v>0.21764999999868451</c:v>
                </c:pt>
                <c:pt idx="30">
                  <c:v>0.11541000000579515</c:v>
                </c:pt>
                <c:pt idx="31">
                  <c:v>0.13620000000082655</c:v>
                </c:pt>
                <c:pt idx="32">
                  <c:v>0.11617000000114786</c:v>
                </c:pt>
                <c:pt idx="33">
                  <c:v>8.5600000020349398E-3</c:v>
                </c:pt>
                <c:pt idx="34">
                  <c:v>-2.2309999993012752E-2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B-4D82-8DC5-B2FC38623B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36">
                  <c:v>3.7010000000009313E-2</c:v>
                </c:pt>
                <c:pt idx="37">
                  <c:v>-2.9259999995701946E-2</c:v>
                </c:pt>
                <c:pt idx="38">
                  <c:v>8.1300000019837171E-3</c:v>
                </c:pt>
                <c:pt idx="39">
                  <c:v>1.4530000000377186E-2</c:v>
                </c:pt>
                <c:pt idx="40">
                  <c:v>-3.2100000025820918E-3</c:v>
                </c:pt>
                <c:pt idx="41">
                  <c:v>-3.3390000004146714E-2</c:v>
                </c:pt>
                <c:pt idx="46">
                  <c:v>-5.7815000000118744E-2</c:v>
                </c:pt>
                <c:pt idx="47">
                  <c:v>-4.9814999998488929E-2</c:v>
                </c:pt>
                <c:pt idx="48">
                  <c:v>-0.3451100000020233</c:v>
                </c:pt>
                <c:pt idx="49">
                  <c:v>-0.34189999999944121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B-4D82-8DC5-B2FC38623B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B-4D82-8DC5-B2FC38623B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50">
                  <c:v>-0.34438000000227476</c:v>
                </c:pt>
                <c:pt idx="51">
                  <c:v>-0.33935000000201399</c:v>
                </c:pt>
                <c:pt idx="52">
                  <c:v>-0.33975000000646105</c:v>
                </c:pt>
                <c:pt idx="53">
                  <c:v>-0.33845000000292202</c:v>
                </c:pt>
                <c:pt idx="54">
                  <c:v>-0.33839000000443775</c:v>
                </c:pt>
                <c:pt idx="55">
                  <c:v>-0.35626000000047497</c:v>
                </c:pt>
                <c:pt idx="56">
                  <c:v>-0.35444999999162974</c:v>
                </c:pt>
                <c:pt idx="57">
                  <c:v>-0.36886000000231434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B-4D82-8DC5-B2FC38623B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B-4D82-8DC5-B2FC38623B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B-4D82-8DC5-B2FC38623B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5">
                    <c:v>0</c:v>
                  </c:pt>
                  <c:pt idx="49">
                    <c:v>0</c:v>
                  </c:pt>
                  <c:pt idx="54">
                    <c:v>2.9999999999999997E-4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B-4D82-8DC5-B2FC38623B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0.5901336023852799</c:v>
                </c:pt>
                <c:pt idx="1">
                  <c:v>0.549415111849065</c:v>
                </c:pt>
                <c:pt idx="2">
                  <c:v>0.54822102121750438</c:v>
                </c:pt>
                <c:pt idx="3">
                  <c:v>0.54738515777541208</c:v>
                </c:pt>
                <c:pt idx="4">
                  <c:v>0.54272820431232582</c:v>
                </c:pt>
                <c:pt idx="5">
                  <c:v>0.53962356867026839</c:v>
                </c:pt>
                <c:pt idx="6">
                  <c:v>0.53257843394406112</c:v>
                </c:pt>
                <c:pt idx="7">
                  <c:v>0.52493625390207355</c:v>
                </c:pt>
                <c:pt idx="8">
                  <c:v>0.52469743577576144</c:v>
                </c:pt>
                <c:pt idx="9">
                  <c:v>0.51574175603905725</c:v>
                </c:pt>
                <c:pt idx="10">
                  <c:v>0.50762193974444547</c:v>
                </c:pt>
                <c:pt idx="11">
                  <c:v>0.49138230715522191</c:v>
                </c:pt>
                <c:pt idx="12">
                  <c:v>0.46666463108191841</c:v>
                </c:pt>
                <c:pt idx="13">
                  <c:v>0.42522968616676704</c:v>
                </c:pt>
                <c:pt idx="14">
                  <c:v>0.42355795928258227</c:v>
                </c:pt>
                <c:pt idx="15">
                  <c:v>0.3614652464414333</c:v>
                </c:pt>
                <c:pt idx="16">
                  <c:v>0.35239015764157305</c:v>
                </c:pt>
                <c:pt idx="17">
                  <c:v>0.31979148339996982</c:v>
                </c:pt>
                <c:pt idx="18">
                  <c:v>0.31895561995787747</c:v>
                </c:pt>
                <c:pt idx="19">
                  <c:v>0.31811975651578506</c:v>
                </c:pt>
                <c:pt idx="20">
                  <c:v>0.31107462178957779</c:v>
                </c:pt>
                <c:pt idx="21">
                  <c:v>0.29364089856879361</c:v>
                </c:pt>
                <c:pt idx="22">
                  <c:v>0.28659576384258634</c:v>
                </c:pt>
                <c:pt idx="23">
                  <c:v>0.26116163339034648</c:v>
                </c:pt>
                <c:pt idx="24">
                  <c:v>0.25471354397991947</c:v>
                </c:pt>
                <c:pt idx="25">
                  <c:v>0.17244069946539708</c:v>
                </c:pt>
                <c:pt idx="26">
                  <c:v>0.16826138225493512</c:v>
                </c:pt>
                <c:pt idx="27">
                  <c:v>0.15440993092883265</c:v>
                </c:pt>
                <c:pt idx="28">
                  <c:v>0.1470065690131572</c:v>
                </c:pt>
                <c:pt idx="29">
                  <c:v>0.14617070557106482</c:v>
                </c:pt>
                <c:pt idx="30">
                  <c:v>0.12372180169772634</c:v>
                </c:pt>
                <c:pt idx="31">
                  <c:v>0.12049775699251283</c:v>
                </c:pt>
                <c:pt idx="32">
                  <c:v>0.11321380413999343</c:v>
                </c:pt>
                <c:pt idx="33">
                  <c:v>8.8496128066689897E-2</c:v>
                </c:pt>
                <c:pt idx="34">
                  <c:v>8.0256902708922051E-2</c:v>
                </c:pt>
                <c:pt idx="35">
                  <c:v>7.9898675519453885E-2</c:v>
                </c:pt>
                <c:pt idx="36">
                  <c:v>7.8346357698425156E-2</c:v>
                </c:pt>
                <c:pt idx="37">
                  <c:v>7.2495313603778436E-2</c:v>
                </c:pt>
                <c:pt idx="38">
                  <c:v>7.1659450161686039E-2</c:v>
                </c:pt>
                <c:pt idx="39">
                  <c:v>6.9271268898564928E-2</c:v>
                </c:pt>
                <c:pt idx="40">
                  <c:v>5.0291929206069397E-3</c:v>
                </c:pt>
                <c:pt idx="41">
                  <c:v>-2.8518052476927264E-3</c:v>
                </c:pt>
                <c:pt idx="42">
                  <c:v>-3.8077478878729171E-2</c:v>
                </c:pt>
                <c:pt idx="43">
                  <c:v>-3.8077478878729171E-2</c:v>
                </c:pt>
                <c:pt idx="44">
                  <c:v>-3.8137183410307196E-2</c:v>
                </c:pt>
                <c:pt idx="45">
                  <c:v>-3.8137183410307196E-2</c:v>
                </c:pt>
                <c:pt idx="46">
                  <c:v>-3.8376001536619311E-2</c:v>
                </c:pt>
                <c:pt idx="47">
                  <c:v>-3.8376001536619311E-2</c:v>
                </c:pt>
                <c:pt idx="48">
                  <c:v>-0.27319392423300287</c:v>
                </c:pt>
                <c:pt idx="49">
                  <c:v>-0.28191078584339496</c:v>
                </c:pt>
                <c:pt idx="50">
                  <c:v>-0.2909858746432552</c:v>
                </c:pt>
                <c:pt idx="51">
                  <c:v>-0.32310691263223418</c:v>
                </c:pt>
                <c:pt idx="52">
                  <c:v>-0.32430100326379474</c:v>
                </c:pt>
                <c:pt idx="53">
                  <c:v>-0.32430100326379474</c:v>
                </c:pt>
                <c:pt idx="54">
                  <c:v>-0.32430100326379474</c:v>
                </c:pt>
                <c:pt idx="55">
                  <c:v>-0.37290049196830943</c:v>
                </c:pt>
                <c:pt idx="56">
                  <c:v>-0.37325871915777759</c:v>
                </c:pt>
                <c:pt idx="57">
                  <c:v>-0.42185820786229228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B-4D82-8DC5-B2FC38623B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-4273</c:v>
                </c:pt>
                <c:pt idx="1">
                  <c:v>-3932</c:v>
                </c:pt>
                <c:pt idx="2">
                  <c:v>-3922</c:v>
                </c:pt>
                <c:pt idx="3">
                  <c:v>-3915</c:v>
                </c:pt>
                <c:pt idx="4">
                  <c:v>-3876</c:v>
                </c:pt>
                <c:pt idx="5">
                  <c:v>-3850</c:v>
                </c:pt>
                <c:pt idx="6">
                  <c:v>-3791</c:v>
                </c:pt>
                <c:pt idx="7">
                  <c:v>-3727</c:v>
                </c:pt>
                <c:pt idx="8">
                  <c:v>-3725</c:v>
                </c:pt>
                <c:pt idx="9">
                  <c:v>-3650</c:v>
                </c:pt>
                <c:pt idx="10">
                  <c:v>-3582</c:v>
                </c:pt>
                <c:pt idx="11">
                  <c:v>-3446</c:v>
                </c:pt>
                <c:pt idx="12">
                  <c:v>-3239</c:v>
                </c:pt>
                <c:pt idx="13">
                  <c:v>-2892</c:v>
                </c:pt>
                <c:pt idx="14">
                  <c:v>-2878</c:v>
                </c:pt>
                <c:pt idx="15">
                  <c:v>-2358</c:v>
                </c:pt>
                <c:pt idx="16">
                  <c:v>-2282</c:v>
                </c:pt>
                <c:pt idx="17">
                  <c:v>-2009</c:v>
                </c:pt>
                <c:pt idx="18">
                  <c:v>-2002</c:v>
                </c:pt>
                <c:pt idx="19">
                  <c:v>-1995</c:v>
                </c:pt>
                <c:pt idx="20">
                  <c:v>-1936</c:v>
                </c:pt>
                <c:pt idx="21">
                  <c:v>-1790</c:v>
                </c:pt>
                <c:pt idx="22">
                  <c:v>-1731</c:v>
                </c:pt>
                <c:pt idx="23">
                  <c:v>-1518</c:v>
                </c:pt>
                <c:pt idx="24">
                  <c:v>-1464</c:v>
                </c:pt>
                <c:pt idx="25">
                  <c:v>-775</c:v>
                </c:pt>
                <c:pt idx="26">
                  <c:v>-740</c:v>
                </c:pt>
                <c:pt idx="27">
                  <c:v>-624</c:v>
                </c:pt>
                <c:pt idx="28">
                  <c:v>-562</c:v>
                </c:pt>
                <c:pt idx="29">
                  <c:v>-555</c:v>
                </c:pt>
                <c:pt idx="30">
                  <c:v>-367</c:v>
                </c:pt>
                <c:pt idx="31">
                  <c:v>-340</c:v>
                </c:pt>
                <c:pt idx="32">
                  <c:v>-279</c:v>
                </c:pt>
                <c:pt idx="33">
                  <c:v>-72</c:v>
                </c:pt>
                <c:pt idx="34">
                  <c:v>-3</c:v>
                </c:pt>
                <c:pt idx="35">
                  <c:v>0</c:v>
                </c:pt>
                <c:pt idx="36">
                  <c:v>13</c:v>
                </c:pt>
                <c:pt idx="37">
                  <c:v>62</c:v>
                </c:pt>
                <c:pt idx="38">
                  <c:v>69</c:v>
                </c:pt>
                <c:pt idx="39">
                  <c:v>89</c:v>
                </c:pt>
                <c:pt idx="40">
                  <c:v>627</c:v>
                </c:pt>
                <c:pt idx="41">
                  <c:v>693</c:v>
                </c:pt>
                <c:pt idx="42">
                  <c:v>988</c:v>
                </c:pt>
                <c:pt idx="43">
                  <c:v>988</c:v>
                </c:pt>
                <c:pt idx="44">
                  <c:v>988.5</c:v>
                </c:pt>
                <c:pt idx="45">
                  <c:v>988.5</c:v>
                </c:pt>
                <c:pt idx="46">
                  <c:v>990.5</c:v>
                </c:pt>
                <c:pt idx="47">
                  <c:v>990.5</c:v>
                </c:pt>
                <c:pt idx="48">
                  <c:v>2957</c:v>
                </c:pt>
                <c:pt idx="49">
                  <c:v>3030</c:v>
                </c:pt>
                <c:pt idx="50">
                  <c:v>3106</c:v>
                </c:pt>
                <c:pt idx="51">
                  <c:v>3375</c:v>
                </c:pt>
                <c:pt idx="52">
                  <c:v>3385</c:v>
                </c:pt>
                <c:pt idx="53">
                  <c:v>3385</c:v>
                </c:pt>
                <c:pt idx="54">
                  <c:v>3385</c:v>
                </c:pt>
                <c:pt idx="55">
                  <c:v>3792</c:v>
                </c:pt>
                <c:pt idx="56">
                  <c:v>3795</c:v>
                </c:pt>
                <c:pt idx="57">
                  <c:v>4202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2">
                  <c:v>-0.80824000000575325</c:v>
                </c:pt>
                <c:pt idx="43">
                  <c:v>-0.80424000000493834</c:v>
                </c:pt>
                <c:pt idx="44">
                  <c:v>-1.30535499999678</c:v>
                </c:pt>
                <c:pt idx="45">
                  <c:v>-1.3043549999929382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5B-4D82-8DC5-B2FC38623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284920"/>
        <c:axId val="1"/>
      </c:scatterChart>
      <c:valAx>
        <c:axId val="710284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284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29032258064516"/>
          <c:y val="0.92000129214617399"/>
          <c:w val="0.7758064516129031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352425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F035202-038D-7D5B-DCEC-8A5BF6AB72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9" TargetMode="External"/><Relationship Id="rId7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174" TargetMode="External"/><Relationship Id="rId1" Type="http://schemas.openxmlformats.org/officeDocument/2006/relationships/hyperlink" Target="http://www.bav-astro.de/sfs/BAVM_link.php?BAVMnr=171" TargetMode="External"/><Relationship Id="rId6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4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8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24</v>
      </c>
      <c r="B2" s="9" t="s">
        <v>33</v>
      </c>
    </row>
    <row r="4" spans="1:6" ht="14.25" thickTop="1" thickBot="1" x14ac:dyDescent="0.25">
      <c r="A4" s="5" t="s">
        <v>0</v>
      </c>
      <c r="C4" s="2">
        <v>37188.334999999999</v>
      </c>
      <c r="D4" s="3">
        <v>5.2902300000000002</v>
      </c>
    </row>
    <row r="5" spans="1:6" ht="13.5" thickTop="1" x14ac:dyDescent="0.2">
      <c r="A5" s="13" t="s">
        <v>35</v>
      </c>
      <c r="B5" s="14"/>
      <c r="C5" s="15">
        <v>-9.5</v>
      </c>
      <c r="D5" s="14" t="s">
        <v>36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37188.334999999999</v>
      </c>
    </row>
    <row r="8" spans="1:6" x14ac:dyDescent="0.2">
      <c r="A8" t="s">
        <v>3</v>
      </c>
      <c r="C8">
        <f>+D4</f>
        <v>5.2902300000000002</v>
      </c>
    </row>
    <row r="9" spans="1:6" x14ac:dyDescent="0.2">
      <c r="A9" s="29" t="s">
        <v>42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INTERCEPT(INDIRECT($D$9):G992,INDIRECT($C$9):F992)</f>
        <v>7.9898675519453885E-2</v>
      </c>
      <c r="D11" s="17"/>
      <c r="E11" s="14"/>
    </row>
    <row r="12" spans="1:6" x14ac:dyDescent="0.2">
      <c r="A12" s="14" t="s">
        <v>17</v>
      </c>
      <c r="B12" s="14"/>
      <c r="C12" s="16">
        <f ca="1">SLOPE(INDIRECT($D$9):G992,INDIRECT($C$9):F992)</f>
        <v>-1.1940906315605572E-4</v>
      </c>
      <c r="D12" s="17"/>
      <c r="E12" s="14"/>
    </row>
    <row r="13" spans="1:6" x14ac:dyDescent="0.2">
      <c r="A13" s="14" t="s">
        <v>19</v>
      </c>
      <c r="B13" s="14"/>
      <c r="C13" s="17" t="s">
        <v>14</v>
      </c>
    </row>
    <row r="14" spans="1:6" x14ac:dyDescent="0.2">
      <c r="A14" s="14"/>
      <c r="B14" s="14"/>
      <c r="C14" s="14"/>
    </row>
    <row r="15" spans="1:6" x14ac:dyDescent="0.2">
      <c r="A15" s="22" t="s">
        <v>18</v>
      </c>
      <c r="B15" s="14"/>
      <c r="C15" s="23">
        <f ca="1">(C7+C11)+(C8+C12)*INT(MAX(F21:F3533))</f>
        <v>59417.459601792136</v>
      </c>
      <c r="E15" s="20" t="s">
        <v>37</v>
      </c>
      <c r="F15" s="15">
        <v>1</v>
      </c>
    </row>
    <row r="16" spans="1:6" x14ac:dyDescent="0.2">
      <c r="A16" s="24" t="s">
        <v>4</v>
      </c>
      <c r="B16" s="14"/>
      <c r="C16" s="25">
        <f ca="1">+C8+C12</f>
        <v>5.2901105909368438</v>
      </c>
      <c r="E16" s="20" t="s">
        <v>38</v>
      </c>
      <c r="F16" s="21">
        <f ca="1">NOW()+15018.5+$C$5/24</f>
        <v>59961.617344560182</v>
      </c>
    </row>
    <row r="17" spans="1:21" ht="13.5" thickBot="1" x14ac:dyDescent="0.25">
      <c r="A17" s="20" t="s">
        <v>32</v>
      </c>
      <c r="B17" s="14"/>
      <c r="C17" s="14">
        <f>COUNT(C21:C2191)</f>
        <v>58</v>
      </c>
      <c r="E17" s="20" t="s">
        <v>39</v>
      </c>
      <c r="F17" s="21">
        <f ca="1">ROUND(2*(F16-$C$7)/$C$8,0)/2+F15</f>
        <v>4306</v>
      </c>
    </row>
    <row r="18" spans="1:21" ht="14.25" thickTop="1" thickBot="1" x14ac:dyDescent="0.25">
      <c r="A18" s="24" t="s">
        <v>5</v>
      </c>
      <c r="B18" s="14"/>
      <c r="C18" s="27">
        <f ca="1">+C15</f>
        <v>59417.459601792136</v>
      </c>
      <c r="D18" s="28">
        <f ca="1">+C16</f>
        <v>5.2901105909368438</v>
      </c>
      <c r="E18" s="20" t="s">
        <v>40</v>
      </c>
      <c r="F18" s="19">
        <f ca="1">ROUND(2*(F16-$C$15)/$C$16,0)/2+F15</f>
        <v>104</v>
      </c>
    </row>
    <row r="19" spans="1:21" ht="13.5" thickTop="1" x14ac:dyDescent="0.2">
      <c r="E19" s="20" t="s">
        <v>41</v>
      </c>
      <c r="F19" s="26">
        <f ca="1">+$C$15+$C$16*F18-15018.5-$C$5/24</f>
        <v>44949.526936582901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57" t="s">
        <v>11</v>
      </c>
      <c r="H20" s="7" t="s">
        <v>55</v>
      </c>
      <c r="I20" s="7" t="s">
        <v>46</v>
      </c>
      <c r="J20" s="7" t="s">
        <v>52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6" t="s">
        <v>240</v>
      </c>
    </row>
    <row r="21" spans="1:21" x14ac:dyDescent="0.2">
      <c r="A21" s="53" t="s">
        <v>65</v>
      </c>
      <c r="B21" s="55" t="s">
        <v>44</v>
      </c>
      <c r="C21" s="54">
        <v>14583.584999999999</v>
      </c>
      <c r="D21" s="8"/>
      <c r="E21" s="10">
        <f t="shared" ref="E21:E52" si="0">+(C21-C$7)/C$8</f>
        <v>-4272.9238615334307</v>
      </c>
      <c r="F21" s="10">
        <f t="shared" ref="F21:F52" si="1">ROUND(2*E21,0)/2</f>
        <v>-4273</v>
      </c>
      <c r="G21" s="11">
        <f t="shared" ref="G21:G62" si="2">+C21-(C$7+F21*C$8)</f>
        <v>0.40279000000009546</v>
      </c>
      <c r="H21" s="10">
        <f t="shared" ref="H21:H56" si="3">+G21</f>
        <v>0.40279000000009546</v>
      </c>
      <c r="L21" s="10"/>
      <c r="M21" s="10"/>
      <c r="N21" s="10"/>
      <c r="O21" s="10">
        <f t="shared" ref="O21:O52" ca="1" si="4">+C$11+C$12*$F21</f>
        <v>0.5901336023852799</v>
      </c>
      <c r="P21" s="10"/>
      <c r="Q21" s="12">
        <f t="shared" ref="Q21:Q52" si="5">+C21-15018.5</f>
        <v>-434.91500000000087</v>
      </c>
    </row>
    <row r="22" spans="1:21" x14ac:dyDescent="0.2">
      <c r="A22" s="53" t="s">
        <v>65</v>
      </c>
      <c r="B22" s="55" t="s">
        <v>44</v>
      </c>
      <c r="C22" s="54">
        <v>16387.670999999998</v>
      </c>
      <c r="D22" s="8"/>
      <c r="E22" s="10">
        <f t="shared" si="0"/>
        <v>-3931.9016375469496</v>
      </c>
      <c r="F22" s="10">
        <f t="shared" si="1"/>
        <v>-3932</v>
      </c>
      <c r="G22" s="11">
        <f t="shared" si="2"/>
        <v>0.52035999999861815</v>
      </c>
      <c r="H22" s="10">
        <f t="shared" si="3"/>
        <v>0.52035999999861815</v>
      </c>
      <c r="L22" s="10"/>
      <c r="M22" s="10"/>
      <c r="N22" s="10"/>
      <c r="O22" s="10">
        <f t="shared" ca="1" si="4"/>
        <v>0.549415111849065</v>
      </c>
      <c r="P22" s="10"/>
      <c r="Q22" s="12">
        <f t="shared" si="5"/>
        <v>1369.1709999999985</v>
      </c>
    </row>
    <row r="23" spans="1:21" x14ac:dyDescent="0.2">
      <c r="A23" s="53" t="s">
        <v>65</v>
      </c>
      <c r="B23" s="55" t="s">
        <v>44</v>
      </c>
      <c r="C23" s="54">
        <v>16440.588</v>
      </c>
      <c r="D23" s="8"/>
      <c r="E23" s="10">
        <f t="shared" si="0"/>
        <v>-3921.8988588397856</v>
      </c>
      <c r="F23" s="10">
        <f t="shared" si="1"/>
        <v>-3922</v>
      </c>
      <c r="G23" s="11">
        <f t="shared" si="2"/>
        <v>0.53506000000197673</v>
      </c>
      <c r="H23" s="10">
        <f t="shared" si="3"/>
        <v>0.53506000000197673</v>
      </c>
      <c r="L23" s="10"/>
      <c r="M23" s="10"/>
      <c r="N23" s="10"/>
      <c r="O23" s="10">
        <f t="shared" ca="1" si="4"/>
        <v>0.54822102121750438</v>
      </c>
      <c r="P23" s="10"/>
      <c r="Q23" s="12">
        <f t="shared" si="5"/>
        <v>1422.0879999999997</v>
      </c>
    </row>
    <row r="24" spans="1:21" x14ac:dyDescent="0.2">
      <c r="A24" s="53" t="s">
        <v>65</v>
      </c>
      <c r="B24" s="55" t="s">
        <v>44</v>
      </c>
      <c r="C24" s="54">
        <v>16477.476999999999</v>
      </c>
      <c r="D24" s="8"/>
      <c r="E24" s="10">
        <f t="shared" si="0"/>
        <v>-3914.9258160798299</v>
      </c>
      <c r="F24" s="10">
        <f t="shared" si="1"/>
        <v>-3915</v>
      </c>
      <c r="G24" s="11">
        <f t="shared" si="2"/>
        <v>0.39244999999937136</v>
      </c>
      <c r="H24" s="10">
        <f t="shared" si="3"/>
        <v>0.39244999999937136</v>
      </c>
      <c r="L24" s="10"/>
      <c r="M24" s="10"/>
      <c r="N24" s="10"/>
      <c r="O24" s="10">
        <f t="shared" ca="1" si="4"/>
        <v>0.54738515777541208</v>
      </c>
      <c r="P24" s="10"/>
      <c r="Q24" s="12">
        <f t="shared" si="5"/>
        <v>1458.976999999999</v>
      </c>
    </row>
    <row r="25" spans="1:21" x14ac:dyDescent="0.2">
      <c r="A25" s="53" t="s">
        <v>65</v>
      </c>
      <c r="B25" s="55" t="s">
        <v>44</v>
      </c>
      <c r="C25" s="54">
        <v>16683.832999999999</v>
      </c>
      <c r="D25" s="8"/>
      <c r="E25" s="10">
        <f t="shared" si="0"/>
        <v>-3875.9188163841645</v>
      </c>
      <c r="F25" s="10">
        <f t="shared" si="1"/>
        <v>-3876</v>
      </c>
      <c r="G25" s="11">
        <f t="shared" si="2"/>
        <v>0.42947999999887543</v>
      </c>
      <c r="H25" s="10">
        <f t="shared" si="3"/>
        <v>0.42947999999887543</v>
      </c>
      <c r="L25" s="10"/>
      <c r="M25" s="10"/>
      <c r="N25" s="10"/>
      <c r="O25" s="10">
        <f t="shared" ca="1" si="4"/>
        <v>0.54272820431232582</v>
      </c>
      <c r="P25" s="10"/>
      <c r="Q25" s="12">
        <f t="shared" si="5"/>
        <v>1665.3329999999987</v>
      </c>
    </row>
    <row r="26" spans="1:21" x14ac:dyDescent="0.2">
      <c r="A26" s="53" t="s">
        <v>65</v>
      </c>
      <c r="B26" s="55" t="s">
        <v>44</v>
      </c>
      <c r="C26" s="54">
        <v>16821.577000000001</v>
      </c>
      <c r="D26" s="8"/>
      <c r="E26" s="10">
        <f t="shared" si="0"/>
        <v>-3849.8813851193609</v>
      </c>
      <c r="F26" s="10">
        <f t="shared" si="1"/>
        <v>-3850</v>
      </c>
      <c r="G26" s="11">
        <f t="shared" si="2"/>
        <v>0.62750000000232831</v>
      </c>
      <c r="H26" s="10">
        <f t="shared" si="3"/>
        <v>0.62750000000232831</v>
      </c>
      <c r="L26" s="10"/>
      <c r="M26" s="10"/>
      <c r="N26" s="10"/>
      <c r="O26" s="10">
        <f t="shared" ca="1" si="4"/>
        <v>0.53962356867026839</v>
      </c>
      <c r="P26" s="10"/>
      <c r="Q26" s="12">
        <f t="shared" si="5"/>
        <v>1803.0770000000011</v>
      </c>
    </row>
    <row r="27" spans="1:21" x14ac:dyDescent="0.2">
      <c r="A27" s="53" t="s">
        <v>65</v>
      </c>
      <c r="B27" s="55" t="s">
        <v>44</v>
      </c>
      <c r="C27" s="54">
        <v>17133.534</v>
      </c>
      <c r="D27" s="8"/>
      <c r="E27" s="10">
        <f t="shared" si="0"/>
        <v>-3790.9128714630551</v>
      </c>
      <c r="F27" s="10">
        <f t="shared" si="1"/>
        <v>-3791</v>
      </c>
      <c r="G27" s="11">
        <f t="shared" si="2"/>
        <v>0.46093000000109896</v>
      </c>
      <c r="H27" s="10">
        <f t="shared" si="3"/>
        <v>0.46093000000109896</v>
      </c>
      <c r="L27" s="10"/>
      <c r="M27" s="10"/>
      <c r="N27" s="10"/>
      <c r="O27" s="10">
        <f t="shared" ca="1" si="4"/>
        <v>0.53257843394406112</v>
      </c>
      <c r="P27" s="10"/>
      <c r="Q27" s="12">
        <f t="shared" si="5"/>
        <v>2115.0339999999997</v>
      </c>
    </row>
    <row r="28" spans="1:21" x14ac:dyDescent="0.2">
      <c r="A28" s="53" t="s">
        <v>88</v>
      </c>
      <c r="B28" s="55" t="s">
        <v>44</v>
      </c>
      <c r="C28" s="54">
        <v>17472.12</v>
      </c>
      <c r="D28" s="8"/>
      <c r="E28" s="10">
        <f t="shared" si="0"/>
        <v>-3726.9107392306191</v>
      </c>
      <c r="F28" s="10">
        <f t="shared" si="1"/>
        <v>-3727</v>
      </c>
      <c r="G28" s="11">
        <f t="shared" si="2"/>
        <v>0.47220999999990454</v>
      </c>
      <c r="H28" s="10">
        <f t="shared" si="3"/>
        <v>0.47220999999990454</v>
      </c>
      <c r="L28" s="10"/>
      <c r="M28" s="10"/>
      <c r="N28" s="10"/>
      <c r="O28" s="10">
        <f t="shared" ca="1" si="4"/>
        <v>0.52493625390207355</v>
      </c>
      <c r="P28" s="10"/>
      <c r="Q28" s="12">
        <f t="shared" si="5"/>
        <v>2453.619999999999</v>
      </c>
    </row>
    <row r="29" spans="1:21" x14ac:dyDescent="0.2">
      <c r="A29" s="53" t="s">
        <v>65</v>
      </c>
      <c r="B29" s="55" t="s">
        <v>44</v>
      </c>
      <c r="C29" s="54">
        <v>17482.587</v>
      </c>
      <c r="D29" s="8"/>
      <c r="E29" s="10">
        <f t="shared" si="0"/>
        <v>-3724.9321863132604</v>
      </c>
      <c r="F29" s="10">
        <f t="shared" si="1"/>
        <v>-3725</v>
      </c>
      <c r="G29" s="11">
        <f t="shared" si="2"/>
        <v>0.35874999999941792</v>
      </c>
      <c r="H29" s="10">
        <f t="shared" si="3"/>
        <v>0.35874999999941792</v>
      </c>
      <c r="L29" s="10"/>
      <c r="M29" s="10"/>
      <c r="N29" s="10"/>
      <c r="O29" s="10">
        <f t="shared" ca="1" si="4"/>
        <v>0.52469743577576144</v>
      </c>
      <c r="P29" s="10"/>
      <c r="Q29" s="12">
        <f t="shared" si="5"/>
        <v>2464.0869999999995</v>
      </c>
    </row>
    <row r="30" spans="1:21" x14ac:dyDescent="0.2">
      <c r="A30" s="53" t="s">
        <v>65</v>
      </c>
      <c r="B30" s="55" t="s">
        <v>44</v>
      </c>
      <c r="C30" s="54">
        <v>17879.599999999999</v>
      </c>
      <c r="D30" s="8"/>
      <c r="E30" s="10">
        <f t="shared" si="0"/>
        <v>-3649.8857327564206</v>
      </c>
      <c r="F30" s="10">
        <f t="shared" si="1"/>
        <v>-3650</v>
      </c>
      <c r="G30" s="11">
        <f t="shared" si="2"/>
        <v>0.60450000000128057</v>
      </c>
      <c r="H30" s="10">
        <f t="shared" si="3"/>
        <v>0.60450000000128057</v>
      </c>
      <c r="L30" s="10"/>
      <c r="M30" s="10"/>
      <c r="N30" s="10"/>
      <c r="O30" s="10">
        <f t="shared" ca="1" si="4"/>
        <v>0.51574175603905725</v>
      </c>
      <c r="P30" s="10"/>
      <c r="Q30" s="12">
        <f t="shared" si="5"/>
        <v>2861.0999999999985</v>
      </c>
    </row>
    <row r="31" spans="1:21" x14ac:dyDescent="0.2">
      <c r="A31" s="53" t="s">
        <v>88</v>
      </c>
      <c r="B31" s="55" t="s">
        <v>44</v>
      </c>
      <c r="C31" s="54">
        <v>18239.259999999998</v>
      </c>
      <c r="D31" s="8"/>
      <c r="E31" s="10">
        <f t="shared" si="0"/>
        <v>-3581.9000308115146</v>
      </c>
      <c r="F31" s="10">
        <f t="shared" si="1"/>
        <v>-3582</v>
      </c>
      <c r="G31" s="11">
        <f t="shared" si="2"/>
        <v>0.52885999999853084</v>
      </c>
      <c r="H31" s="10">
        <f t="shared" si="3"/>
        <v>0.52885999999853084</v>
      </c>
      <c r="L31" s="10"/>
      <c r="M31" s="10"/>
      <c r="N31" s="10"/>
      <c r="O31" s="10">
        <f t="shared" ca="1" si="4"/>
        <v>0.50762193974444547</v>
      </c>
      <c r="P31" s="10"/>
      <c r="Q31" s="12">
        <f t="shared" si="5"/>
        <v>3220.7599999999984</v>
      </c>
    </row>
    <row r="32" spans="1:21" x14ac:dyDescent="0.2">
      <c r="A32" s="53" t="s">
        <v>65</v>
      </c>
      <c r="B32" s="55" t="s">
        <v>44</v>
      </c>
      <c r="C32" s="54">
        <v>18958.589</v>
      </c>
      <c r="D32" s="8"/>
      <c r="E32" s="10">
        <f t="shared" si="0"/>
        <v>-3445.9269256724183</v>
      </c>
      <c r="F32" s="10">
        <f t="shared" si="1"/>
        <v>-3446</v>
      </c>
      <c r="G32" s="11">
        <f t="shared" si="2"/>
        <v>0.38658000000214088</v>
      </c>
      <c r="H32" s="10">
        <f t="shared" si="3"/>
        <v>0.38658000000214088</v>
      </c>
      <c r="L32" s="10"/>
      <c r="M32" s="10"/>
      <c r="N32" s="10"/>
      <c r="O32" s="10">
        <f t="shared" ca="1" si="4"/>
        <v>0.49138230715522191</v>
      </c>
      <c r="P32" s="10"/>
      <c r="Q32" s="12">
        <f t="shared" si="5"/>
        <v>3940.0889999999999</v>
      </c>
    </row>
    <row r="33" spans="1:17" x14ac:dyDescent="0.2">
      <c r="A33" s="53" t="s">
        <v>65</v>
      </c>
      <c r="B33" s="55" t="s">
        <v>44</v>
      </c>
      <c r="C33" s="54">
        <v>20053.631000000001</v>
      </c>
      <c r="D33" s="8"/>
      <c r="E33" s="10">
        <f t="shared" si="0"/>
        <v>-3238.9336569487523</v>
      </c>
      <c r="F33" s="10">
        <f t="shared" si="1"/>
        <v>-3239</v>
      </c>
      <c r="G33" s="11">
        <f t="shared" si="2"/>
        <v>0.35097000000314438</v>
      </c>
      <c r="H33" s="10">
        <f t="shared" si="3"/>
        <v>0.35097000000314438</v>
      </c>
      <c r="L33" s="10"/>
      <c r="M33" s="10"/>
      <c r="N33" s="10"/>
      <c r="O33" s="10">
        <f t="shared" ca="1" si="4"/>
        <v>0.46666463108191841</v>
      </c>
      <c r="P33" s="10"/>
      <c r="Q33" s="12">
        <f t="shared" si="5"/>
        <v>5035.1310000000012</v>
      </c>
    </row>
    <row r="34" spans="1:17" x14ac:dyDescent="0.2">
      <c r="A34" s="53" t="s">
        <v>65</v>
      </c>
      <c r="B34" s="55" t="s">
        <v>44</v>
      </c>
      <c r="C34" s="54">
        <v>21889.616999999998</v>
      </c>
      <c r="D34" s="8"/>
      <c r="E34" s="10">
        <f t="shared" si="0"/>
        <v>-2891.8814493887789</v>
      </c>
      <c r="F34" s="10">
        <f t="shared" si="1"/>
        <v>-2892</v>
      </c>
      <c r="G34" s="11">
        <f t="shared" si="2"/>
        <v>0.62716000000000349</v>
      </c>
      <c r="H34" s="10">
        <f t="shared" si="3"/>
        <v>0.62716000000000349</v>
      </c>
      <c r="L34" s="10"/>
      <c r="M34" s="10"/>
      <c r="N34" s="10"/>
      <c r="O34" s="10">
        <f t="shared" ca="1" si="4"/>
        <v>0.42522968616676704</v>
      </c>
      <c r="P34" s="10"/>
      <c r="Q34" s="12">
        <f t="shared" si="5"/>
        <v>6871.1169999999984</v>
      </c>
    </row>
    <row r="35" spans="1:17" x14ac:dyDescent="0.2">
      <c r="A35" s="53" t="s">
        <v>65</v>
      </c>
      <c r="B35" s="55" t="s">
        <v>44</v>
      </c>
      <c r="C35" s="54">
        <v>21963.516</v>
      </c>
      <c r="D35" s="8"/>
      <c r="E35" s="10">
        <f t="shared" si="0"/>
        <v>-2877.912491517382</v>
      </c>
      <c r="F35" s="10">
        <f t="shared" si="1"/>
        <v>-2878</v>
      </c>
      <c r="G35" s="11">
        <f t="shared" si="2"/>
        <v>0.46294000000125379</v>
      </c>
      <c r="H35" s="10">
        <f t="shared" si="3"/>
        <v>0.46294000000125379</v>
      </c>
      <c r="L35" s="10"/>
      <c r="M35" s="10"/>
      <c r="N35" s="10"/>
      <c r="O35" s="10">
        <f t="shared" ca="1" si="4"/>
        <v>0.42355795928258227</v>
      </c>
      <c r="P35" s="10"/>
      <c r="Q35" s="12">
        <f t="shared" si="5"/>
        <v>6945.0159999999996</v>
      </c>
    </row>
    <row r="36" spans="1:17" x14ac:dyDescent="0.2">
      <c r="A36" s="53" t="s">
        <v>114</v>
      </c>
      <c r="B36" s="55" t="s">
        <v>44</v>
      </c>
      <c r="C36" s="54">
        <v>24714.46</v>
      </c>
      <c r="D36" s="8"/>
      <c r="E36" s="10">
        <f t="shared" si="0"/>
        <v>-2357.9078792415453</v>
      </c>
      <c r="F36" s="10">
        <f t="shared" si="1"/>
        <v>-2358</v>
      </c>
      <c r="G36" s="11">
        <f t="shared" si="2"/>
        <v>0.48733999999967637</v>
      </c>
      <c r="H36" s="10">
        <f t="shared" si="3"/>
        <v>0.48733999999967637</v>
      </c>
      <c r="L36" s="10"/>
      <c r="M36" s="10"/>
      <c r="N36" s="10"/>
      <c r="O36" s="10">
        <f t="shared" ca="1" si="4"/>
        <v>0.3614652464414333</v>
      </c>
      <c r="P36" s="10"/>
      <c r="Q36" s="12">
        <f t="shared" si="5"/>
        <v>9695.9599999999991</v>
      </c>
    </row>
    <row r="37" spans="1:17" x14ac:dyDescent="0.2">
      <c r="A37" s="53" t="s">
        <v>120</v>
      </c>
      <c r="B37" s="55" t="s">
        <v>44</v>
      </c>
      <c r="C37" s="54">
        <v>25116.3</v>
      </c>
      <c r="D37" s="8"/>
      <c r="E37" s="10">
        <f t="shared" si="0"/>
        <v>-2281.9489889853558</v>
      </c>
      <c r="F37" s="10">
        <f t="shared" si="1"/>
        <v>-2282</v>
      </c>
      <c r="G37" s="11">
        <f t="shared" si="2"/>
        <v>0.26986000000033528</v>
      </c>
      <c r="H37" s="10">
        <f t="shared" si="3"/>
        <v>0.26986000000033528</v>
      </c>
      <c r="L37" s="10"/>
      <c r="M37" s="10"/>
      <c r="N37" s="10"/>
      <c r="O37" s="10">
        <f t="shared" ca="1" si="4"/>
        <v>0.35239015764157305</v>
      </c>
      <c r="P37" s="10"/>
      <c r="Q37" s="12">
        <f t="shared" si="5"/>
        <v>10097.799999999999</v>
      </c>
    </row>
    <row r="38" spans="1:17" x14ac:dyDescent="0.2">
      <c r="A38" s="53" t="s">
        <v>65</v>
      </c>
      <c r="B38" s="55" t="s">
        <v>44</v>
      </c>
      <c r="C38" s="54">
        <v>26560.696</v>
      </c>
      <c r="D38" s="8"/>
      <c r="E38" s="10">
        <f t="shared" si="0"/>
        <v>-2008.9181377747279</v>
      </c>
      <c r="F38" s="10">
        <f t="shared" si="1"/>
        <v>-2009</v>
      </c>
      <c r="G38" s="11">
        <f t="shared" si="2"/>
        <v>0.43307000000277185</v>
      </c>
      <c r="H38" s="10">
        <f t="shared" si="3"/>
        <v>0.43307000000277185</v>
      </c>
      <c r="L38" s="10"/>
      <c r="M38" s="10"/>
      <c r="N38" s="10"/>
      <c r="O38" s="10">
        <f t="shared" ca="1" si="4"/>
        <v>0.31979148339996982</v>
      </c>
      <c r="P38" s="10"/>
      <c r="Q38" s="12">
        <f t="shared" si="5"/>
        <v>11542.196</v>
      </c>
    </row>
    <row r="39" spans="1:17" x14ac:dyDescent="0.2">
      <c r="A39" s="53" t="s">
        <v>65</v>
      </c>
      <c r="B39" s="55" t="s">
        <v>44</v>
      </c>
      <c r="C39" s="54">
        <v>26597.759999999998</v>
      </c>
      <c r="D39" s="8"/>
      <c r="E39" s="10">
        <f t="shared" si="0"/>
        <v>-2001.9120151675825</v>
      </c>
      <c r="F39" s="10">
        <f t="shared" si="1"/>
        <v>-2002</v>
      </c>
      <c r="G39" s="11">
        <f t="shared" si="2"/>
        <v>0.46545999999943888</v>
      </c>
      <c r="H39" s="10">
        <f t="shared" si="3"/>
        <v>0.46545999999943888</v>
      </c>
      <c r="L39" s="10"/>
      <c r="M39" s="10"/>
      <c r="N39" s="10"/>
      <c r="O39" s="10">
        <f t="shared" ca="1" si="4"/>
        <v>0.31895561995787747</v>
      </c>
      <c r="P39" s="10"/>
      <c r="Q39" s="12">
        <f t="shared" si="5"/>
        <v>11579.259999999998</v>
      </c>
    </row>
    <row r="40" spans="1:17" x14ac:dyDescent="0.2">
      <c r="A40" s="53" t="s">
        <v>65</v>
      </c>
      <c r="B40" s="55" t="s">
        <v>44</v>
      </c>
      <c r="C40" s="54">
        <v>26634.615000000002</v>
      </c>
      <c r="D40" s="8"/>
      <c r="E40" s="10">
        <f t="shared" si="0"/>
        <v>-1994.9453993493662</v>
      </c>
      <c r="F40" s="10">
        <f t="shared" si="1"/>
        <v>-1995</v>
      </c>
      <c r="G40" s="11">
        <f t="shared" si="2"/>
        <v>0.28885000000082073</v>
      </c>
      <c r="H40" s="10">
        <f t="shared" si="3"/>
        <v>0.28885000000082073</v>
      </c>
      <c r="L40" s="10"/>
      <c r="M40" s="10"/>
      <c r="N40" s="10"/>
      <c r="O40" s="10">
        <f t="shared" ca="1" si="4"/>
        <v>0.31811975651578506</v>
      </c>
      <c r="P40" s="10"/>
      <c r="Q40" s="12">
        <f t="shared" si="5"/>
        <v>11616.115000000002</v>
      </c>
    </row>
    <row r="41" spans="1:17" x14ac:dyDescent="0.2">
      <c r="A41" s="53" t="s">
        <v>65</v>
      </c>
      <c r="B41" s="55" t="s">
        <v>44</v>
      </c>
      <c r="C41" s="54">
        <v>26946.880000000001</v>
      </c>
      <c r="D41" s="8"/>
      <c r="E41" s="10">
        <f t="shared" si="0"/>
        <v>-1935.9186651620057</v>
      </c>
      <c r="F41" s="10">
        <f t="shared" si="1"/>
        <v>-1936</v>
      </c>
      <c r="G41" s="11">
        <f t="shared" si="2"/>
        <v>0.43028000000413158</v>
      </c>
      <c r="H41" s="10">
        <f t="shared" si="3"/>
        <v>0.43028000000413158</v>
      </c>
      <c r="L41" s="10"/>
      <c r="M41" s="10"/>
      <c r="N41" s="10"/>
      <c r="O41" s="10">
        <f t="shared" ca="1" si="4"/>
        <v>0.31107462178957779</v>
      </c>
      <c r="P41" s="10"/>
      <c r="Q41" s="12">
        <f t="shared" si="5"/>
        <v>11928.380000000001</v>
      </c>
    </row>
    <row r="42" spans="1:17" x14ac:dyDescent="0.2">
      <c r="A42" s="53" t="s">
        <v>65</v>
      </c>
      <c r="B42" s="55" t="s">
        <v>44</v>
      </c>
      <c r="C42" s="54">
        <v>27719.295999999998</v>
      </c>
      <c r="D42" s="8"/>
      <c r="E42" s="10">
        <f t="shared" si="0"/>
        <v>-1789.9106466070473</v>
      </c>
      <c r="F42" s="10">
        <f t="shared" si="1"/>
        <v>-1790</v>
      </c>
      <c r="G42" s="11">
        <f t="shared" si="2"/>
        <v>0.47270000000207801</v>
      </c>
      <c r="H42" s="10">
        <f t="shared" si="3"/>
        <v>0.47270000000207801</v>
      </c>
      <c r="L42" s="10"/>
      <c r="M42" s="10"/>
      <c r="N42" s="10"/>
      <c r="O42" s="10">
        <f t="shared" ca="1" si="4"/>
        <v>0.29364089856879361</v>
      </c>
      <c r="P42" s="10"/>
      <c r="Q42" s="12">
        <f t="shared" si="5"/>
        <v>12700.795999999998</v>
      </c>
    </row>
    <row r="43" spans="1:17" x14ac:dyDescent="0.2">
      <c r="A43" s="53" t="s">
        <v>65</v>
      </c>
      <c r="B43" s="55" t="s">
        <v>44</v>
      </c>
      <c r="C43" s="54">
        <v>28031.346000000001</v>
      </c>
      <c r="D43" s="8"/>
      <c r="E43" s="10">
        <f t="shared" si="0"/>
        <v>-1730.9245533748056</v>
      </c>
      <c r="F43" s="10">
        <f t="shared" si="1"/>
        <v>-1731</v>
      </c>
      <c r="G43" s="11">
        <f t="shared" si="2"/>
        <v>0.39913000000160537</v>
      </c>
      <c r="H43" s="10">
        <f t="shared" si="3"/>
        <v>0.39913000000160537</v>
      </c>
      <c r="L43" s="10"/>
      <c r="M43" s="10"/>
      <c r="N43" s="10"/>
      <c r="O43" s="10">
        <f t="shared" ca="1" si="4"/>
        <v>0.28659576384258634</v>
      </c>
      <c r="P43" s="10"/>
      <c r="Q43" s="12">
        <f t="shared" si="5"/>
        <v>13012.846000000001</v>
      </c>
    </row>
    <row r="44" spans="1:17" x14ac:dyDescent="0.2">
      <c r="A44" s="53" t="s">
        <v>144</v>
      </c>
      <c r="B44" s="55" t="s">
        <v>44</v>
      </c>
      <c r="C44" s="54">
        <v>29158.17</v>
      </c>
      <c r="D44" s="8"/>
      <c r="E44" s="10">
        <f t="shared" si="0"/>
        <v>-1517.923606346038</v>
      </c>
      <c r="F44" s="10">
        <f t="shared" si="1"/>
        <v>-1518</v>
      </c>
      <c r="G44" s="11">
        <f t="shared" si="2"/>
        <v>0.4041399999987334</v>
      </c>
      <c r="H44" s="10">
        <f t="shared" si="3"/>
        <v>0.4041399999987334</v>
      </c>
      <c r="L44" s="10"/>
      <c r="M44" s="10"/>
      <c r="N44" s="10"/>
      <c r="O44" s="10">
        <f t="shared" ca="1" si="4"/>
        <v>0.26116163339034648</v>
      </c>
      <c r="P44" s="10"/>
      <c r="Q44" s="12">
        <f t="shared" si="5"/>
        <v>14139.669999999998</v>
      </c>
    </row>
    <row r="45" spans="1:17" x14ac:dyDescent="0.2">
      <c r="A45" s="53" t="s">
        <v>65</v>
      </c>
      <c r="B45" s="55" t="s">
        <v>44</v>
      </c>
      <c r="C45" s="54">
        <v>29443.793000000001</v>
      </c>
      <c r="D45" s="8"/>
      <c r="E45" s="10">
        <f t="shared" si="0"/>
        <v>-1463.9329480948838</v>
      </c>
      <c r="F45" s="10">
        <f t="shared" si="1"/>
        <v>-1464</v>
      </c>
      <c r="G45" s="11">
        <f t="shared" si="2"/>
        <v>0.35472000000299886</v>
      </c>
      <c r="H45" s="10">
        <f t="shared" si="3"/>
        <v>0.35472000000299886</v>
      </c>
      <c r="L45" s="10"/>
      <c r="M45" s="10"/>
      <c r="N45" s="10"/>
      <c r="O45" s="10">
        <f t="shared" ca="1" si="4"/>
        <v>0.25471354397991947</v>
      </c>
      <c r="P45" s="10"/>
      <c r="Q45" s="12">
        <f t="shared" si="5"/>
        <v>14425.293000000001</v>
      </c>
    </row>
    <row r="46" spans="1:17" x14ac:dyDescent="0.2">
      <c r="A46" s="53" t="s">
        <v>152</v>
      </c>
      <c r="B46" s="55" t="s">
        <v>44</v>
      </c>
      <c r="C46" s="54">
        <v>33088.646000000001</v>
      </c>
      <c r="D46" s="8"/>
      <c r="E46" s="10">
        <f t="shared" si="0"/>
        <v>-774.95477512319849</v>
      </c>
      <c r="F46" s="10">
        <f t="shared" si="1"/>
        <v>-775</v>
      </c>
      <c r="G46" s="11">
        <f t="shared" si="2"/>
        <v>0.23924999999871943</v>
      </c>
      <c r="H46" s="10">
        <f t="shared" si="3"/>
        <v>0.23924999999871943</v>
      </c>
      <c r="L46" s="10"/>
      <c r="M46" s="10"/>
      <c r="N46" s="10"/>
      <c r="O46" s="10">
        <f t="shared" ca="1" si="4"/>
        <v>0.17244069946539708</v>
      </c>
      <c r="P46" s="10"/>
      <c r="Q46" s="12">
        <f t="shared" si="5"/>
        <v>18070.146000000001</v>
      </c>
    </row>
    <row r="47" spans="1:17" x14ac:dyDescent="0.2">
      <c r="A47" s="53" t="s">
        <v>152</v>
      </c>
      <c r="B47" s="55" t="s">
        <v>44</v>
      </c>
      <c r="C47" s="54">
        <v>33273.777999999998</v>
      </c>
      <c r="D47" s="8"/>
      <c r="E47" s="10">
        <f t="shared" si="0"/>
        <v>-739.95969929473779</v>
      </c>
      <c r="F47" s="10">
        <f t="shared" si="1"/>
        <v>-740</v>
      </c>
      <c r="G47" s="11">
        <f t="shared" si="2"/>
        <v>0.21319999999832362</v>
      </c>
      <c r="H47" s="10">
        <f t="shared" si="3"/>
        <v>0.21319999999832362</v>
      </c>
      <c r="L47" s="10"/>
      <c r="M47" s="10"/>
      <c r="N47" s="10"/>
      <c r="O47" s="10">
        <f t="shared" ca="1" si="4"/>
        <v>0.16826138225493512</v>
      </c>
      <c r="P47" s="10"/>
      <c r="Q47" s="12">
        <f t="shared" si="5"/>
        <v>18255.277999999998</v>
      </c>
    </row>
    <row r="48" spans="1:17" x14ac:dyDescent="0.2">
      <c r="A48" s="53" t="s">
        <v>65</v>
      </c>
      <c r="B48" s="55" t="s">
        <v>44</v>
      </c>
      <c r="C48" s="54">
        <v>33887.480000000003</v>
      </c>
      <c r="D48" s="8"/>
      <c r="E48" s="10">
        <f t="shared" si="0"/>
        <v>-623.95302283643548</v>
      </c>
      <c r="F48" s="10">
        <f t="shared" si="1"/>
        <v>-624</v>
      </c>
      <c r="G48" s="11">
        <f t="shared" si="2"/>
        <v>0.24852000000100816</v>
      </c>
      <c r="H48" s="10">
        <f t="shared" si="3"/>
        <v>0.24852000000100816</v>
      </c>
      <c r="L48" s="10"/>
      <c r="M48" s="10"/>
      <c r="N48" s="10"/>
      <c r="O48" s="10">
        <f t="shared" ca="1" si="4"/>
        <v>0.15440993092883265</v>
      </c>
      <c r="P48" s="10"/>
      <c r="Q48" s="12">
        <f t="shared" si="5"/>
        <v>18868.980000000003</v>
      </c>
    </row>
    <row r="49" spans="1:30" x14ac:dyDescent="0.2">
      <c r="A49" s="53" t="s">
        <v>65</v>
      </c>
      <c r="B49" s="55" t="s">
        <v>44</v>
      </c>
      <c r="C49" s="54">
        <v>34215.476999999999</v>
      </c>
      <c r="D49" s="8"/>
      <c r="E49" s="10">
        <f t="shared" si="0"/>
        <v>-561.95250490054309</v>
      </c>
      <c r="F49" s="10">
        <f t="shared" si="1"/>
        <v>-562</v>
      </c>
      <c r="G49" s="11">
        <f t="shared" si="2"/>
        <v>0.25125999999727355</v>
      </c>
      <c r="H49" s="10">
        <f t="shared" si="3"/>
        <v>0.25125999999727355</v>
      </c>
      <c r="L49" s="10"/>
      <c r="M49" s="10"/>
      <c r="N49" s="10"/>
      <c r="O49" s="10">
        <f t="shared" ca="1" si="4"/>
        <v>0.1470065690131572</v>
      </c>
      <c r="P49" s="10"/>
      <c r="Q49" s="12">
        <f t="shared" si="5"/>
        <v>19196.976999999999</v>
      </c>
    </row>
    <row r="50" spans="1:30" x14ac:dyDescent="0.2">
      <c r="A50" s="53" t="s">
        <v>65</v>
      </c>
      <c r="B50" s="55" t="s">
        <v>44</v>
      </c>
      <c r="C50" s="54">
        <v>34252.474999999999</v>
      </c>
      <c r="D50" s="8"/>
      <c r="E50" s="10">
        <f t="shared" si="0"/>
        <v>-554.9588581214806</v>
      </c>
      <c r="F50" s="10">
        <f t="shared" si="1"/>
        <v>-555</v>
      </c>
      <c r="G50" s="11">
        <f t="shared" si="2"/>
        <v>0.21764999999868451</v>
      </c>
      <c r="H50" s="10">
        <f t="shared" si="3"/>
        <v>0.21764999999868451</v>
      </c>
      <c r="L50" s="10"/>
      <c r="M50" s="10"/>
      <c r="N50" s="10"/>
      <c r="O50" s="10">
        <f t="shared" ca="1" si="4"/>
        <v>0.14617070557106482</v>
      </c>
      <c r="P50" s="10"/>
      <c r="Q50" s="12">
        <f t="shared" si="5"/>
        <v>19233.974999999999</v>
      </c>
    </row>
    <row r="51" spans="1:30" x14ac:dyDescent="0.2">
      <c r="A51" s="53" t="s">
        <v>65</v>
      </c>
      <c r="B51" s="55" t="s">
        <v>44</v>
      </c>
      <c r="C51" s="54">
        <v>35246.936000000002</v>
      </c>
      <c r="D51" s="8"/>
      <c r="E51" s="10">
        <f t="shared" si="0"/>
        <v>-366.97818431334696</v>
      </c>
      <c r="F51" s="10">
        <f t="shared" si="1"/>
        <v>-367</v>
      </c>
      <c r="G51" s="11">
        <f t="shared" si="2"/>
        <v>0.11541000000579515</v>
      </c>
      <c r="H51" s="10">
        <f t="shared" si="3"/>
        <v>0.11541000000579515</v>
      </c>
      <c r="L51" s="10"/>
      <c r="M51" s="10"/>
      <c r="N51" s="10"/>
      <c r="O51" s="10">
        <f t="shared" ca="1" si="4"/>
        <v>0.12372180169772634</v>
      </c>
      <c r="P51" s="10"/>
      <c r="Q51" s="12">
        <f t="shared" si="5"/>
        <v>20228.436000000002</v>
      </c>
    </row>
    <row r="52" spans="1:30" x14ac:dyDescent="0.2">
      <c r="A52" s="53" t="s">
        <v>152</v>
      </c>
      <c r="B52" s="55" t="s">
        <v>44</v>
      </c>
      <c r="C52" s="54">
        <v>35389.792999999998</v>
      </c>
      <c r="D52" s="8"/>
      <c r="E52" s="10">
        <f t="shared" si="0"/>
        <v>-339.97425442750148</v>
      </c>
      <c r="F52" s="10">
        <f t="shared" si="1"/>
        <v>-340</v>
      </c>
      <c r="G52" s="11">
        <f t="shared" si="2"/>
        <v>0.13620000000082655</v>
      </c>
      <c r="H52" s="10">
        <f t="shared" si="3"/>
        <v>0.13620000000082655</v>
      </c>
      <c r="L52" s="10"/>
      <c r="M52" s="10"/>
      <c r="N52" s="10"/>
      <c r="O52" s="10">
        <f t="shared" ca="1" si="4"/>
        <v>0.12049775699251283</v>
      </c>
      <c r="P52" s="10"/>
      <c r="Q52" s="12">
        <f t="shared" si="5"/>
        <v>20371.292999999998</v>
      </c>
    </row>
    <row r="53" spans="1:30" x14ac:dyDescent="0.2">
      <c r="A53" s="53" t="s">
        <v>152</v>
      </c>
      <c r="B53" s="55" t="s">
        <v>44</v>
      </c>
      <c r="C53" s="54">
        <v>35712.476999999999</v>
      </c>
      <c r="D53" s="8"/>
      <c r="E53" s="10">
        <f t="shared" ref="E53:E76" si="6">+(C53-C$7)/C$8</f>
        <v>-278.97804065229678</v>
      </c>
      <c r="F53" s="10">
        <f t="shared" ref="F53:F77" si="7">ROUND(2*E53,0)/2</f>
        <v>-279</v>
      </c>
      <c r="G53" s="11">
        <f t="shared" si="2"/>
        <v>0.11617000000114786</v>
      </c>
      <c r="H53" s="10">
        <f t="shared" si="3"/>
        <v>0.11617000000114786</v>
      </c>
      <c r="L53" s="10"/>
      <c r="M53" s="10"/>
      <c r="N53" s="10"/>
      <c r="O53" s="10">
        <f t="shared" ref="O53:O76" ca="1" si="8">+C$11+C$12*$F53</f>
        <v>0.11321380413999343</v>
      </c>
      <c r="P53" s="10"/>
      <c r="Q53" s="12">
        <f t="shared" ref="Q53:Q76" si="9">+C53-15018.5</f>
        <v>20693.976999999999</v>
      </c>
    </row>
    <row r="54" spans="1:30" x14ac:dyDescent="0.2">
      <c r="A54" s="53" t="s">
        <v>65</v>
      </c>
      <c r="B54" s="55" t="s">
        <v>44</v>
      </c>
      <c r="C54" s="54">
        <v>36807.447</v>
      </c>
      <c r="D54" s="8"/>
      <c r="E54" s="10">
        <f t="shared" si="6"/>
        <v>-71.998381922902979</v>
      </c>
      <c r="F54" s="10">
        <f t="shared" si="7"/>
        <v>-72</v>
      </c>
      <c r="G54" s="11">
        <f t="shared" si="2"/>
        <v>8.5600000020349398E-3</v>
      </c>
      <c r="H54" s="10">
        <f t="shared" si="3"/>
        <v>8.5600000020349398E-3</v>
      </c>
      <c r="L54" s="10"/>
      <c r="M54" s="10"/>
      <c r="N54" s="10"/>
      <c r="O54" s="10">
        <f t="shared" ca="1" si="8"/>
        <v>8.8496128066689897E-2</v>
      </c>
      <c r="P54" s="10"/>
      <c r="Q54" s="12">
        <f t="shared" si="9"/>
        <v>21788.947</v>
      </c>
    </row>
    <row r="55" spans="1:30" x14ac:dyDescent="0.2">
      <c r="A55" s="53" t="s">
        <v>65</v>
      </c>
      <c r="B55" s="55" t="s">
        <v>44</v>
      </c>
      <c r="C55" s="54">
        <v>37172.442000000003</v>
      </c>
      <c r="D55" s="8"/>
      <c r="E55" s="10">
        <f t="shared" si="6"/>
        <v>-3.0042172079467981</v>
      </c>
      <c r="F55" s="10">
        <f t="shared" si="7"/>
        <v>-3</v>
      </c>
      <c r="G55" s="11">
        <f t="shared" si="2"/>
        <v>-2.2309999993012752E-2</v>
      </c>
      <c r="H55" s="10">
        <f t="shared" si="3"/>
        <v>-2.2309999993012752E-2</v>
      </c>
      <c r="L55" s="10"/>
      <c r="M55" s="10"/>
      <c r="N55" s="10"/>
      <c r="O55" s="10">
        <f t="shared" ca="1" si="8"/>
        <v>8.0256902708922051E-2</v>
      </c>
      <c r="P55" s="10"/>
      <c r="Q55" s="12">
        <f t="shared" si="9"/>
        <v>22153.942000000003</v>
      </c>
    </row>
    <row r="56" spans="1:30" s="10" customFormat="1" x14ac:dyDescent="0.2">
      <c r="A56" s="10" t="s">
        <v>12</v>
      </c>
      <c r="C56" s="11">
        <v>37188.334999999999</v>
      </c>
      <c r="D56" s="11" t="s">
        <v>14</v>
      </c>
      <c r="E56" s="10">
        <f t="shared" si="6"/>
        <v>0</v>
      </c>
      <c r="F56" s="10">
        <f t="shared" si="7"/>
        <v>0</v>
      </c>
      <c r="G56" s="11">
        <f t="shared" si="2"/>
        <v>0</v>
      </c>
      <c r="H56" s="10">
        <f t="shared" si="3"/>
        <v>0</v>
      </c>
      <c r="O56" s="10">
        <f t="shared" ca="1" si="8"/>
        <v>7.9898675519453885E-2</v>
      </c>
      <c r="Q56" s="12">
        <f t="shared" si="9"/>
        <v>22169.834999999999</v>
      </c>
    </row>
    <row r="57" spans="1:30" x14ac:dyDescent="0.2">
      <c r="A57" s="53" t="s">
        <v>185</v>
      </c>
      <c r="B57" s="55" t="s">
        <v>44</v>
      </c>
      <c r="C57" s="54">
        <v>37257.144999999997</v>
      </c>
      <c r="D57" s="8"/>
      <c r="E57" s="10">
        <f t="shared" si="6"/>
        <v>13.006995915111</v>
      </c>
      <c r="F57" s="10">
        <f t="shared" si="7"/>
        <v>13</v>
      </c>
      <c r="G57" s="11">
        <f t="shared" si="2"/>
        <v>3.7010000000009313E-2</v>
      </c>
      <c r="H57" s="10"/>
      <c r="I57" s="10">
        <f t="shared" ref="I57:I62" si="10">+G57</f>
        <v>3.7010000000009313E-2</v>
      </c>
      <c r="L57" s="10"/>
      <c r="M57" s="10"/>
      <c r="N57" s="10"/>
      <c r="O57" s="10">
        <f t="shared" ca="1" si="8"/>
        <v>7.8346357698425156E-2</v>
      </c>
      <c r="P57" s="10"/>
      <c r="Q57" s="12">
        <f t="shared" si="9"/>
        <v>22238.644999999997</v>
      </c>
    </row>
    <row r="58" spans="1:30" x14ac:dyDescent="0.2">
      <c r="A58" s="53" t="s">
        <v>185</v>
      </c>
      <c r="B58" s="55" t="s">
        <v>44</v>
      </c>
      <c r="C58" s="54">
        <v>37516.300000000003</v>
      </c>
      <c r="D58" s="8"/>
      <c r="E58" s="10">
        <f t="shared" si="6"/>
        <v>61.994469049550545</v>
      </c>
      <c r="F58" s="10">
        <f t="shared" si="7"/>
        <v>62</v>
      </c>
      <c r="G58" s="11">
        <f t="shared" si="2"/>
        <v>-2.9259999995701946E-2</v>
      </c>
      <c r="H58" s="10"/>
      <c r="I58" s="10">
        <f t="shared" si="10"/>
        <v>-2.9259999995701946E-2</v>
      </c>
      <c r="L58" s="10"/>
      <c r="M58" s="10"/>
      <c r="N58" s="10"/>
      <c r="O58" s="10">
        <f t="shared" ca="1" si="8"/>
        <v>7.2495313603778436E-2</v>
      </c>
      <c r="P58" s="10"/>
      <c r="Q58" s="12">
        <f t="shared" si="9"/>
        <v>22497.800000000003</v>
      </c>
    </row>
    <row r="59" spans="1:30" x14ac:dyDescent="0.2">
      <c r="A59" s="53" t="s">
        <v>185</v>
      </c>
      <c r="B59" s="55" t="s">
        <v>44</v>
      </c>
      <c r="C59" s="54">
        <v>37553.368999999999</v>
      </c>
      <c r="D59" s="8"/>
      <c r="E59" s="10">
        <f t="shared" si="6"/>
        <v>69.001536795186524</v>
      </c>
      <c r="F59" s="10">
        <f t="shared" si="7"/>
        <v>69</v>
      </c>
      <c r="G59" s="11">
        <f t="shared" si="2"/>
        <v>8.1300000019837171E-3</v>
      </c>
      <c r="H59" s="10"/>
      <c r="I59" s="10">
        <f t="shared" si="10"/>
        <v>8.1300000019837171E-3</v>
      </c>
      <c r="L59" s="10"/>
      <c r="M59" s="10"/>
      <c r="N59" s="10"/>
      <c r="O59" s="10">
        <f t="shared" ca="1" si="8"/>
        <v>7.1659450161686039E-2</v>
      </c>
      <c r="P59" s="10"/>
      <c r="Q59" s="12">
        <f t="shared" si="9"/>
        <v>22534.868999999999</v>
      </c>
    </row>
    <row r="60" spans="1:30" x14ac:dyDescent="0.2">
      <c r="A60" s="53" t="s">
        <v>185</v>
      </c>
      <c r="B60" s="55" t="s">
        <v>44</v>
      </c>
      <c r="C60" s="54">
        <v>37659.18</v>
      </c>
      <c r="D60" s="8"/>
      <c r="E60" s="10">
        <f t="shared" si="6"/>
        <v>89.002746572455479</v>
      </c>
      <c r="F60" s="10">
        <f t="shared" si="7"/>
        <v>89</v>
      </c>
      <c r="G60" s="11">
        <f t="shared" si="2"/>
        <v>1.4530000000377186E-2</v>
      </c>
      <c r="H60" s="10"/>
      <c r="I60" s="10">
        <f t="shared" si="10"/>
        <v>1.4530000000377186E-2</v>
      </c>
      <c r="L60" s="10"/>
      <c r="M60" s="10"/>
      <c r="N60" s="10"/>
      <c r="O60" s="10">
        <f t="shared" ca="1" si="8"/>
        <v>6.9271268898564928E-2</v>
      </c>
      <c r="P60" s="10"/>
      <c r="Q60" s="12">
        <f t="shared" si="9"/>
        <v>22640.68</v>
      </c>
    </row>
    <row r="61" spans="1:30" x14ac:dyDescent="0.2">
      <c r="A61" s="53" t="s">
        <v>185</v>
      </c>
      <c r="B61" s="55" t="s">
        <v>44</v>
      </c>
      <c r="C61" s="54">
        <v>40505.305999999997</v>
      </c>
      <c r="D61" s="8"/>
      <c r="E61" s="10">
        <f t="shared" si="6"/>
        <v>626.99939322108821</v>
      </c>
      <c r="F61" s="10">
        <f t="shared" si="7"/>
        <v>627</v>
      </c>
      <c r="G61" s="11">
        <f t="shared" si="2"/>
        <v>-3.2100000025820918E-3</v>
      </c>
      <c r="H61" s="10"/>
      <c r="I61" s="10">
        <f t="shared" si="10"/>
        <v>-3.2100000025820918E-3</v>
      </c>
      <c r="L61" s="10"/>
      <c r="M61" s="10"/>
      <c r="N61" s="10"/>
      <c r="O61" s="10">
        <f t="shared" ca="1" si="8"/>
        <v>5.0291929206069397E-3</v>
      </c>
      <c r="P61" s="10"/>
      <c r="Q61" s="12">
        <f t="shared" si="9"/>
        <v>25486.805999999997</v>
      </c>
    </row>
    <row r="62" spans="1:30" x14ac:dyDescent="0.2">
      <c r="A62" s="53" t="s">
        <v>185</v>
      </c>
      <c r="B62" s="55" t="s">
        <v>44</v>
      </c>
      <c r="C62" s="54">
        <v>40854.430999999997</v>
      </c>
      <c r="D62" s="8"/>
      <c r="E62" s="10">
        <f t="shared" si="6"/>
        <v>692.99368836515566</v>
      </c>
      <c r="F62" s="10">
        <f t="shared" si="7"/>
        <v>693</v>
      </c>
      <c r="G62" s="11">
        <f t="shared" si="2"/>
        <v>-3.3390000004146714E-2</v>
      </c>
      <c r="H62" s="10"/>
      <c r="I62" s="10">
        <f t="shared" si="10"/>
        <v>-3.3390000004146714E-2</v>
      </c>
      <c r="L62" s="10"/>
      <c r="M62" s="10"/>
      <c r="N62" s="10"/>
      <c r="O62" s="10">
        <f t="shared" ca="1" si="8"/>
        <v>-2.8518052476927264E-3</v>
      </c>
      <c r="P62" s="10"/>
      <c r="Q62" s="12">
        <f t="shared" si="9"/>
        <v>25835.930999999997</v>
      </c>
    </row>
    <row r="63" spans="1:30" s="10" customFormat="1" x14ac:dyDescent="0.2">
      <c r="A63" s="10" t="s">
        <v>29</v>
      </c>
      <c r="C63" s="11">
        <v>42414.273999999998</v>
      </c>
      <c r="D63" s="11"/>
      <c r="E63" s="10">
        <f t="shared" si="6"/>
        <v>987.84722025318342</v>
      </c>
      <c r="F63" s="10">
        <f t="shared" si="7"/>
        <v>988</v>
      </c>
      <c r="O63" s="10">
        <f t="shared" ca="1" si="8"/>
        <v>-3.8077478878729171E-2</v>
      </c>
      <c r="Q63" s="12">
        <f t="shared" si="9"/>
        <v>27395.773999999998</v>
      </c>
      <c r="U63" s="11">
        <f>+C63-(C$7+F63*C$8)</f>
        <v>-0.80824000000575325</v>
      </c>
      <c r="AA63" s="10">
        <v>6</v>
      </c>
      <c r="AB63" s="10" t="s">
        <v>28</v>
      </c>
      <c r="AD63" s="10" t="s">
        <v>30</v>
      </c>
    </row>
    <row r="64" spans="1:30" s="10" customFormat="1" x14ac:dyDescent="0.2">
      <c r="A64" s="10" t="s">
        <v>29</v>
      </c>
      <c r="C64" s="11">
        <v>42414.277999999998</v>
      </c>
      <c r="D64" s="11"/>
      <c r="E64" s="10">
        <f t="shared" si="6"/>
        <v>987.84797636397639</v>
      </c>
      <c r="F64" s="10">
        <f t="shared" si="7"/>
        <v>988</v>
      </c>
      <c r="O64" s="10">
        <f t="shared" ca="1" si="8"/>
        <v>-3.8077478878729171E-2</v>
      </c>
      <c r="Q64" s="12">
        <f t="shared" si="9"/>
        <v>27395.777999999998</v>
      </c>
      <c r="U64" s="11">
        <f>+C64-(C$7+F64*C$8)</f>
        <v>-0.80424000000493834</v>
      </c>
      <c r="AA64" s="10">
        <v>7</v>
      </c>
      <c r="AB64" s="10" t="s">
        <v>31</v>
      </c>
      <c r="AD64" s="10" t="s">
        <v>30</v>
      </c>
    </row>
    <row r="65" spans="1:30" s="10" customFormat="1" x14ac:dyDescent="0.2">
      <c r="A65" s="10" t="s">
        <v>29</v>
      </c>
      <c r="C65" s="11">
        <v>42416.421999999999</v>
      </c>
      <c r="D65" s="11"/>
      <c r="E65" s="10">
        <f t="shared" si="6"/>
        <v>988.25325174897864</v>
      </c>
      <c r="F65" s="10">
        <f t="shared" si="7"/>
        <v>988.5</v>
      </c>
      <c r="O65" s="10">
        <f t="shared" ca="1" si="8"/>
        <v>-3.8137183410307196E-2</v>
      </c>
      <c r="Q65" s="12">
        <f t="shared" si="9"/>
        <v>27397.921999999999</v>
      </c>
      <c r="U65" s="11">
        <f>+C65-(C$7+F65*C$8)</f>
        <v>-1.30535499999678</v>
      </c>
      <c r="AA65" s="10">
        <v>6</v>
      </c>
      <c r="AB65" s="10" t="s">
        <v>31</v>
      </c>
      <c r="AD65" s="10" t="s">
        <v>30</v>
      </c>
    </row>
    <row r="66" spans="1:30" s="10" customFormat="1" x14ac:dyDescent="0.2">
      <c r="A66" s="10" t="s">
        <v>29</v>
      </c>
      <c r="C66" s="11">
        <v>42416.423000000003</v>
      </c>
      <c r="D66" s="11"/>
      <c r="E66" s="10">
        <f t="shared" si="6"/>
        <v>988.25344077667762</v>
      </c>
      <c r="F66" s="10">
        <f t="shared" si="7"/>
        <v>988.5</v>
      </c>
      <c r="O66" s="10">
        <f t="shared" ca="1" si="8"/>
        <v>-3.8137183410307196E-2</v>
      </c>
      <c r="Q66" s="12">
        <f t="shared" si="9"/>
        <v>27397.923000000003</v>
      </c>
      <c r="U66" s="11">
        <f>+C66-(C$7+F66*C$8)</f>
        <v>-1.3043549999929382</v>
      </c>
      <c r="AA66" s="10">
        <v>5</v>
      </c>
      <c r="AB66" s="10" t="s">
        <v>28</v>
      </c>
      <c r="AD66" s="10" t="s">
        <v>30</v>
      </c>
    </row>
    <row r="67" spans="1:30" s="10" customFormat="1" x14ac:dyDescent="0.2">
      <c r="A67" s="34" t="s">
        <v>29</v>
      </c>
      <c r="B67" s="34"/>
      <c r="C67" s="35">
        <v>42428.25</v>
      </c>
      <c r="D67" s="35"/>
      <c r="E67" s="10">
        <f t="shared" si="6"/>
        <v>990.48907136362709</v>
      </c>
      <c r="F67" s="10">
        <f t="shared" si="7"/>
        <v>990.5</v>
      </c>
      <c r="G67" s="11">
        <f t="shared" ref="G67:G76" si="11">+C67-(C$7+F67*C$8)</f>
        <v>-5.7815000000118744E-2</v>
      </c>
      <c r="I67" s="10">
        <f>+G67</f>
        <v>-5.7815000000118744E-2</v>
      </c>
      <c r="O67" s="10">
        <f t="shared" ca="1" si="8"/>
        <v>-3.8376001536619311E-2</v>
      </c>
      <c r="Q67" s="12">
        <f t="shared" si="9"/>
        <v>27409.75</v>
      </c>
      <c r="U67" s="31"/>
      <c r="AA67" s="10">
        <v>6</v>
      </c>
      <c r="AB67" s="10" t="s">
        <v>31</v>
      </c>
      <c r="AD67" s="10" t="s">
        <v>30</v>
      </c>
    </row>
    <row r="68" spans="1:30" s="10" customFormat="1" x14ac:dyDescent="0.2">
      <c r="A68" s="34" t="s">
        <v>29</v>
      </c>
      <c r="B68" s="34"/>
      <c r="C68" s="35">
        <v>42428.258000000002</v>
      </c>
      <c r="D68" s="35"/>
      <c r="E68" s="10">
        <f t="shared" si="6"/>
        <v>990.49058358521313</v>
      </c>
      <c r="F68" s="10">
        <f t="shared" si="7"/>
        <v>990.5</v>
      </c>
      <c r="G68" s="11">
        <f t="shared" si="11"/>
        <v>-4.9814999998488929E-2</v>
      </c>
      <c r="I68" s="10">
        <f>+G68</f>
        <v>-4.9814999998488929E-2</v>
      </c>
      <c r="O68" s="10">
        <f t="shared" ca="1" si="8"/>
        <v>-3.8376001536619311E-2</v>
      </c>
      <c r="Q68" s="12">
        <f t="shared" si="9"/>
        <v>27409.758000000002</v>
      </c>
      <c r="AA68" s="10">
        <v>8</v>
      </c>
      <c r="AB68" s="10" t="s">
        <v>28</v>
      </c>
      <c r="AD68" s="10" t="s">
        <v>30</v>
      </c>
    </row>
    <row r="69" spans="1:30" x14ac:dyDescent="0.2">
      <c r="A69" s="53" t="s">
        <v>207</v>
      </c>
      <c r="B69" s="55" t="s">
        <v>44</v>
      </c>
      <c r="C69" s="54">
        <v>52831.199999999997</v>
      </c>
      <c r="D69" s="8"/>
      <c r="E69" s="10">
        <f t="shared" si="6"/>
        <v>2956.9347646510637</v>
      </c>
      <c r="F69" s="10">
        <f t="shared" si="7"/>
        <v>2957</v>
      </c>
      <c r="G69" s="11">
        <f t="shared" si="11"/>
        <v>-0.3451100000020233</v>
      </c>
      <c r="H69" s="10"/>
      <c r="I69" s="10">
        <f>+G69</f>
        <v>-0.3451100000020233</v>
      </c>
      <c r="L69" s="10"/>
      <c r="M69" s="10"/>
      <c r="N69" s="10"/>
      <c r="O69" s="10">
        <f t="shared" ca="1" si="8"/>
        <v>-0.27319392423300287</v>
      </c>
      <c r="P69" s="10"/>
      <c r="Q69" s="12">
        <f t="shared" si="9"/>
        <v>37812.699999999997</v>
      </c>
    </row>
    <row r="70" spans="1:30" x14ac:dyDescent="0.2">
      <c r="A70" s="38" t="s">
        <v>45</v>
      </c>
      <c r="B70" s="39" t="s">
        <v>44</v>
      </c>
      <c r="C70" s="38">
        <v>53217.39</v>
      </c>
      <c r="D70" s="38" t="s">
        <v>46</v>
      </c>
      <c r="E70" s="10">
        <f t="shared" si="6"/>
        <v>3029.9353714299755</v>
      </c>
      <c r="F70" s="10">
        <f t="shared" si="7"/>
        <v>3030</v>
      </c>
      <c r="G70" s="11">
        <f t="shared" si="11"/>
        <v>-0.34189999999944121</v>
      </c>
      <c r="H70" s="10"/>
      <c r="I70" s="10">
        <f>+G70</f>
        <v>-0.34189999999944121</v>
      </c>
      <c r="J70" s="10"/>
      <c r="K70" s="10"/>
      <c r="L70" s="10"/>
      <c r="M70" s="10"/>
      <c r="N70" s="10"/>
      <c r="O70" s="10">
        <f t="shared" ca="1" si="8"/>
        <v>-0.28191078584339496</v>
      </c>
      <c r="P70" s="10"/>
      <c r="Q70" s="12">
        <f t="shared" si="9"/>
        <v>38198.89</v>
      </c>
    </row>
    <row r="71" spans="1:30" x14ac:dyDescent="0.2">
      <c r="A71" s="53" t="s">
        <v>216</v>
      </c>
      <c r="B71" s="55" t="s">
        <v>44</v>
      </c>
      <c r="C71" s="54">
        <v>53619.445</v>
      </c>
      <c r="D71" s="8"/>
      <c r="E71" s="10">
        <f t="shared" si="6"/>
        <v>3105.9349026412842</v>
      </c>
      <c r="F71" s="10">
        <f t="shared" si="7"/>
        <v>3106</v>
      </c>
      <c r="G71" s="11">
        <f t="shared" si="11"/>
        <v>-0.34438000000227476</v>
      </c>
      <c r="H71" s="10"/>
      <c r="K71" s="10">
        <f t="shared" ref="K71:K77" si="12">+G71</f>
        <v>-0.34438000000227476</v>
      </c>
      <c r="L71" s="10"/>
      <c r="M71" s="10"/>
      <c r="N71" s="10"/>
      <c r="O71" s="10">
        <f t="shared" ca="1" si="8"/>
        <v>-0.2909858746432552</v>
      </c>
      <c r="P71" s="10"/>
      <c r="Q71" s="12">
        <f t="shared" si="9"/>
        <v>38600.945</v>
      </c>
    </row>
    <row r="72" spans="1:30" x14ac:dyDescent="0.2">
      <c r="A72" s="53" t="s">
        <v>223</v>
      </c>
      <c r="B72" s="55" t="s">
        <v>44</v>
      </c>
      <c r="C72" s="54">
        <v>55042.5219</v>
      </c>
      <c r="D72" s="8"/>
      <c r="E72" s="10">
        <f t="shared" si="6"/>
        <v>3374.9358534506059</v>
      </c>
      <c r="F72" s="10">
        <f t="shared" si="7"/>
        <v>3375</v>
      </c>
      <c r="G72" s="11">
        <f t="shared" si="11"/>
        <v>-0.33935000000201399</v>
      </c>
      <c r="H72" s="10"/>
      <c r="K72" s="10">
        <f t="shared" si="12"/>
        <v>-0.33935000000201399</v>
      </c>
      <c r="L72" s="10"/>
      <c r="M72" s="10"/>
      <c r="N72" s="10"/>
      <c r="O72" s="10">
        <f t="shared" ca="1" si="8"/>
        <v>-0.32310691263223418</v>
      </c>
      <c r="P72" s="10"/>
      <c r="Q72" s="12">
        <f t="shared" si="9"/>
        <v>40024.0219</v>
      </c>
    </row>
    <row r="73" spans="1:30" x14ac:dyDescent="0.2">
      <c r="A73" s="53" t="s">
        <v>223</v>
      </c>
      <c r="B73" s="55" t="s">
        <v>44</v>
      </c>
      <c r="C73" s="54">
        <v>55095.423799999997</v>
      </c>
      <c r="D73" s="8"/>
      <c r="E73" s="10">
        <f t="shared" si="6"/>
        <v>3384.9357778395261</v>
      </c>
      <c r="F73" s="10">
        <f t="shared" si="7"/>
        <v>3385</v>
      </c>
      <c r="G73" s="11">
        <f t="shared" si="11"/>
        <v>-0.33975000000646105</v>
      </c>
      <c r="H73" s="10"/>
      <c r="K73" s="10">
        <f t="shared" si="12"/>
        <v>-0.33975000000646105</v>
      </c>
      <c r="L73" s="10"/>
      <c r="M73" s="10"/>
      <c r="N73" s="10"/>
      <c r="O73" s="10">
        <f t="shared" ca="1" si="8"/>
        <v>-0.32430100326379474</v>
      </c>
      <c r="P73" s="10"/>
      <c r="Q73" s="12">
        <f t="shared" si="9"/>
        <v>40076.923799999997</v>
      </c>
    </row>
    <row r="74" spans="1:30" x14ac:dyDescent="0.2">
      <c r="A74" s="53" t="s">
        <v>233</v>
      </c>
      <c r="B74" s="55" t="s">
        <v>44</v>
      </c>
      <c r="C74" s="54">
        <v>55095.4251</v>
      </c>
      <c r="D74" s="8"/>
      <c r="E74" s="10">
        <f t="shared" si="6"/>
        <v>3384.9360235755348</v>
      </c>
      <c r="F74" s="10">
        <f t="shared" si="7"/>
        <v>3385</v>
      </c>
      <c r="G74" s="11">
        <f t="shared" si="11"/>
        <v>-0.33845000000292202</v>
      </c>
      <c r="H74" s="10"/>
      <c r="K74" s="10">
        <f t="shared" si="12"/>
        <v>-0.33845000000292202</v>
      </c>
      <c r="L74" s="10"/>
      <c r="M74" s="10"/>
      <c r="N74" s="10"/>
      <c r="O74" s="10">
        <f t="shared" ca="1" si="8"/>
        <v>-0.32430100326379474</v>
      </c>
      <c r="P74" s="10"/>
      <c r="Q74" s="12">
        <f t="shared" si="9"/>
        <v>40076.9251</v>
      </c>
    </row>
    <row r="75" spans="1:30" x14ac:dyDescent="0.2">
      <c r="A75" s="36" t="s">
        <v>43</v>
      </c>
      <c r="B75" s="37" t="s">
        <v>44</v>
      </c>
      <c r="C75" s="35">
        <v>55095.425159999999</v>
      </c>
      <c r="D75" s="35">
        <v>2.9999999999999997E-4</v>
      </c>
      <c r="E75" s="10">
        <f t="shared" si="6"/>
        <v>3384.9360349171961</v>
      </c>
      <c r="F75" s="10">
        <f t="shared" si="7"/>
        <v>3385</v>
      </c>
      <c r="G75" s="11">
        <f t="shared" si="11"/>
        <v>-0.33839000000443775</v>
      </c>
      <c r="H75" s="10"/>
      <c r="J75" s="10"/>
      <c r="K75" s="10">
        <f t="shared" si="12"/>
        <v>-0.33839000000443775</v>
      </c>
      <c r="L75" s="10"/>
      <c r="M75" s="10"/>
      <c r="N75" s="10"/>
      <c r="O75" s="10">
        <f t="shared" ca="1" si="8"/>
        <v>-0.32430100326379474</v>
      </c>
      <c r="P75" s="10"/>
      <c r="Q75" s="12">
        <f t="shared" si="9"/>
        <v>40076.925159999999</v>
      </c>
    </row>
    <row r="76" spans="1:30" x14ac:dyDescent="0.2">
      <c r="A76" s="32" t="s">
        <v>47</v>
      </c>
      <c r="B76" s="33"/>
      <c r="C76" s="32">
        <v>57248.530899999998</v>
      </c>
      <c r="D76" s="32">
        <v>5.0000000000000001E-3</v>
      </c>
      <c r="E76" s="10">
        <f t="shared" si="6"/>
        <v>3791.9326569922287</v>
      </c>
      <c r="F76" s="10">
        <f t="shared" si="7"/>
        <v>3792</v>
      </c>
      <c r="G76" s="11">
        <f t="shared" si="11"/>
        <v>-0.35626000000047497</v>
      </c>
      <c r="H76" s="10"/>
      <c r="K76" s="10">
        <f t="shared" si="12"/>
        <v>-0.35626000000047497</v>
      </c>
      <c r="L76" s="10"/>
      <c r="M76" s="10"/>
      <c r="N76" s="10"/>
      <c r="O76" s="10">
        <f t="shared" ca="1" si="8"/>
        <v>-0.37290049196830943</v>
      </c>
      <c r="P76" s="10"/>
      <c r="Q76" s="12">
        <f t="shared" si="9"/>
        <v>42230.030899999998</v>
      </c>
    </row>
    <row r="77" spans="1:30" x14ac:dyDescent="0.2">
      <c r="A77" s="58" t="s">
        <v>241</v>
      </c>
      <c r="B77" s="59" t="s">
        <v>44</v>
      </c>
      <c r="C77" s="60">
        <v>57264.403400000003</v>
      </c>
      <c r="D77" s="60" t="s">
        <v>242</v>
      </c>
      <c r="E77" s="10">
        <f>+(C77-C$7)/C$8</f>
        <v>3794.9329991323634</v>
      </c>
      <c r="F77" s="10">
        <f t="shared" si="7"/>
        <v>3795</v>
      </c>
      <c r="G77" s="11">
        <f>+C77-(C$7+F77*C$8)</f>
        <v>-0.35444999999162974</v>
      </c>
      <c r="H77" s="10"/>
      <c r="K77" s="10">
        <f t="shared" si="12"/>
        <v>-0.35444999999162974</v>
      </c>
      <c r="L77" s="10"/>
      <c r="M77" s="10"/>
      <c r="N77" s="10"/>
      <c r="O77" s="10">
        <f ca="1">+C$11+C$12*$F77</f>
        <v>-0.37325871915777759</v>
      </c>
      <c r="P77" s="10"/>
      <c r="Q77" s="12">
        <f>+C77-15018.5</f>
        <v>42245.903400000003</v>
      </c>
    </row>
    <row r="78" spans="1:30" x14ac:dyDescent="0.2">
      <c r="A78" s="61" t="s">
        <v>243</v>
      </c>
      <c r="B78" s="62" t="s">
        <v>44</v>
      </c>
      <c r="C78" s="63">
        <v>59417.512600000002</v>
      </c>
      <c r="D78" s="61">
        <v>1.1999999999999999E-3</v>
      </c>
      <c r="E78" s="10">
        <f>+(C78-C$7)/C$8</f>
        <v>4201.9302752432313</v>
      </c>
      <c r="F78" s="10">
        <f t="shared" ref="F78" si="13">ROUND(2*E78,0)/2</f>
        <v>4202</v>
      </c>
      <c r="G78" s="11">
        <f>+C78-(C$7+F78*C$8)</f>
        <v>-0.36886000000231434</v>
      </c>
      <c r="H78" s="10"/>
      <c r="K78" s="10">
        <f t="shared" ref="K78" si="14">+G78</f>
        <v>-0.36886000000231434</v>
      </c>
      <c r="L78" s="10"/>
      <c r="M78" s="10"/>
      <c r="N78" s="10"/>
      <c r="O78" s="10">
        <f ca="1">+C$11+C$12*$F78</f>
        <v>-0.42185820786229228</v>
      </c>
      <c r="P78" s="10"/>
      <c r="Q78" s="12">
        <f>+C78-15018.5</f>
        <v>44399.012600000002</v>
      </c>
    </row>
    <row r="79" spans="1:30" x14ac:dyDescent="0.2">
      <c r="B79" s="17"/>
      <c r="C79" s="8"/>
      <c r="D79" s="8"/>
    </row>
    <row r="80" spans="1:30" x14ac:dyDescent="0.2">
      <c r="B80" s="17"/>
      <c r="C80" s="8"/>
      <c r="D80" s="8"/>
    </row>
    <row r="81" spans="2:4" x14ac:dyDescent="0.2">
      <c r="B81" s="17"/>
      <c r="C81" s="8"/>
      <c r="D81" s="8"/>
    </row>
    <row r="82" spans="2:4" x14ac:dyDescent="0.2">
      <c r="B82" s="17"/>
      <c r="C82" s="8"/>
      <c r="D82" s="8"/>
    </row>
    <row r="83" spans="2:4" x14ac:dyDescent="0.2">
      <c r="B83" s="17"/>
      <c r="C83" s="8"/>
      <c r="D83" s="8"/>
    </row>
    <row r="84" spans="2:4" x14ac:dyDescent="0.2">
      <c r="B84" s="17"/>
      <c r="C84" s="8"/>
      <c r="D84" s="8"/>
    </row>
    <row r="85" spans="2:4" x14ac:dyDescent="0.2">
      <c r="B85" s="17"/>
      <c r="C85" s="8"/>
      <c r="D85" s="8"/>
    </row>
    <row r="86" spans="2:4" x14ac:dyDescent="0.2">
      <c r="B86" s="17"/>
      <c r="C86" s="8"/>
      <c r="D86" s="8"/>
    </row>
    <row r="87" spans="2:4" x14ac:dyDescent="0.2">
      <c r="B87" s="17"/>
      <c r="C87" s="8"/>
      <c r="D87" s="8"/>
    </row>
    <row r="88" spans="2:4" x14ac:dyDescent="0.2">
      <c r="B88" s="17"/>
      <c r="C88" s="8"/>
      <c r="D88" s="8"/>
    </row>
    <row r="89" spans="2:4" x14ac:dyDescent="0.2">
      <c r="B89" s="17"/>
      <c r="C89" s="8"/>
      <c r="D89" s="8"/>
    </row>
    <row r="90" spans="2:4" x14ac:dyDescent="0.2">
      <c r="B90" s="17"/>
      <c r="C90" s="8"/>
      <c r="D90" s="8"/>
    </row>
    <row r="91" spans="2:4" x14ac:dyDescent="0.2">
      <c r="B91" s="17"/>
      <c r="C91" s="8"/>
      <c r="D91" s="8"/>
    </row>
    <row r="92" spans="2:4" x14ac:dyDescent="0.2">
      <c r="B92" s="17"/>
      <c r="C92" s="8"/>
      <c r="D92" s="8"/>
    </row>
    <row r="93" spans="2:4" x14ac:dyDescent="0.2">
      <c r="B93" s="17"/>
      <c r="C93" s="8"/>
      <c r="D93" s="8"/>
    </row>
    <row r="94" spans="2:4" x14ac:dyDescent="0.2">
      <c r="B94" s="17"/>
      <c r="C94" s="8"/>
      <c r="D94" s="8"/>
    </row>
    <row r="95" spans="2:4" x14ac:dyDescent="0.2">
      <c r="B95" s="17"/>
      <c r="C95" s="8"/>
      <c r="D95" s="8"/>
    </row>
    <row r="96" spans="2:4" x14ac:dyDescent="0.2">
      <c r="B96" s="17"/>
      <c r="C96" s="8"/>
      <c r="D96" s="8"/>
    </row>
    <row r="97" spans="2:4" x14ac:dyDescent="0.2">
      <c r="B97" s="17"/>
      <c r="C97" s="8"/>
      <c r="D97" s="8"/>
    </row>
    <row r="98" spans="2:4" x14ac:dyDescent="0.2">
      <c r="B98" s="17"/>
      <c r="C98" s="8"/>
      <c r="D98" s="8"/>
    </row>
    <row r="99" spans="2:4" x14ac:dyDescent="0.2">
      <c r="B99" s="17"/>
      <c r="C99" s="8"/>
      <c r="D99" s="8"/>
    </row>
    <row r="100" spans="2:4" x14ac:dyDescent="0.2">
      <c r="B100" s="17"/>
      <c r="C100" s="8"/>
      <c r="D100" s="8"/>
    </row>
    <row r="101" spans="2:4" x14ac:dyDescent="0.2">
      <c r="B101" s="17"/>
      <c r="C101" s="8"/>
      <c r="D101" s="8"/>
    </row>
    <row r="102" spans="2:4" x14ac:dyDescent="0.2">
      <c r="B102" s="17"/>
      <c r="C102" s="8"/>
      <c r="D102" s="8"/>
    </row>
    <row r="103" spans="2:4" x14ac:dyDescent="0.2">
      <c r="B103" s="17"/>
      <c r="C103" s="8"/>
      <c r="D103" s="8"/>
    </row>
    <row r="104" spans="2:4" x14ac:dyDescent="0.2">
      <c r="B104" s="17"/>
      <c r="C104" s="8"/>
      <c r="D104" s="8"/>
    </row>
    <row r="105" spans="2:4" x14ac:dyDescent="0.2">
      <c r="B105" s="17"/>
      <c r="C105" s="8"/>
      <c r="D105" s="8"/>
    </row>
    <row r="106" spans="2:4" x14ac:dyDescent="0.2">
      <c r="B106" s="17"/>
      <c r="C106" s="8"/>
      <c r="D106" s="8"/>
    </row>
    <row r="107" spans="2:4" x14ac:dyDescent="0.2">
      <c r="B107" s="17"/>
      <c r="C107" s="8"/>
      <c r="D107" s="8"/>
    </row>
    <row r="108" spans="2:4" x14ac:dyDescent="0.2">
      <c r="B108" s="17"/>
      <c r="C108" s="8"/>
      <c r="D108" s="8"/>
    </row>
    <row r="109" spans="2:4" x14ac:dyDescent="0.2">
      <c r="B109" s="17"/>
      <c r="C109" s="8"/>
      <c r="D109" s="8"/>
    </row>
    <row r="110" spans="2:4" x14ac:dyDescent="0.2">
      <c r="B110" s="17"/>
      <c r="C110" s="8"/>
      <c r="D110" s="8"/>
    </row>
    <row r="111" spans="2:4" x14ac:dyDescent="0.2">
      <c r="B111" s="17"/>
      <c r="C111" s="8"/>
      <c r="D111" s="8"/>
    </row>
    <row r="112" spans="2:4" x14ac:dyDescent="0.2">
      <c r="B112" s="17"/>
      <c r="C112" s="8"/>
      <c r="D112" s="8"/>
    </row>
    <row r="113" spans="2:4" x14ac:dyDescent="0.2">
      <c r="B113" s="17"/>
      <c r="C113" s="8"/>
      <c r="D113" s="8"/>
    </row>
    <row r="114" spans="2:4" x14ac:dyDescent="0.2">
      <c r="B114" s="17"/>
      <c r="C114" s="8"/>
      <c r="D114" s="8"/>
    </row>
    <row r="115" spans="2:4" x14ac:dyDescent="0.2">
      <c r="B115" s="17"/>
      <c r="C115" s="8"/>
      <c r="D115" s="8"/>
    </row>
    <row r="116" spans="2:4" x14ac:dyDescent="0.2">
      <c r="B116" s="17"/>
      <c r="C116" s="8"/>
      <c r="D116" s="8"/>
    </row>
    <row r="117" spans="2:4" x14ac:dyDescent="0.2">
      <c r="B117" s="17"/>
      <c r="C117" s="8"/>
      <c r="D117" s="8"/>
    </row>
    <row r="118" spans="2:4" x14ac:dyDescent="0.2">
      <c r="B118" s="17"/>
      <c r="C118" s="8"/>
      <c r="D118" s="8"/>
    </row>
    <row r="119" spans="2:4" x14ac:dyDescent="0.2">
      <c r="B119" s="17"/>
      <c r="C119" s="8"/>
      <c r="D119" s="8"/>
    </row>
    <row r="120" spans="2:4" x14ac:dyDescent="0.2">
      <c r="B120" s="17"/>
      <c r="C120" s="8"/>
      <c r="D120" s="8"/>
    </row>
    <row r="121" spans="2:4" x14ac:dyDescent="0.2">
      <c r="B121" s="17"/>
      <c r="C121" s="8"/>
      <c r="D121" s="8"/>
    </row>
    <row r="122" spans="2:4" x14ac:dyDescent="0.2">
      <c r="C122" s="8"/>
      <c r="D122" s="8"/>
    </row>
    <row r="123" spans="2:4" x14ac:dyDescent="0.2">
      <c r="C123" s="8"/>
      <c r="D123" s="8"/>
    </row>
    <row r="124" spans="2:4" x14ac:dyDescent="0.2">
      <c r="C124" s="8"/>
      <c r="D124" s="8"/>
    </row>
    <row r="125" spans="2:4" x14ac:dyDescent="0.2">
      <c r="C125" s="8"/>
      <c r="D125" s="8"/>
    </row>
    <row r="126" spans="2:4" x14ac:dyDescent="0.2">
      <c r="C126" s="8"/>
      <c r="D126" s="8"/>
    </row>
    <row r="127" spans="2:4" x14ac:dyDescent="0.2">
      <c r="C127" s="8"/>
      <c r="D127" s="8"/>
    </row>
    <row r="128" spans="2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6"/>
  <sheetViews>
    <sheetView topLeftCell="A12" workbookViewId="0">
      <selection activeCell="A14" sqref="A14:C59"/>
    </sheetView>
  </sheetViews>
  <sheetFormatPr defaultRowHeight="12.75" x14ac:dyDescent="0.2"/>
  <cols>
    <col min="1" max="1" width="19.7109375" style="8" customWidth="1"/>
    <col min="2" max="2" width="4.42578125" style="14" customWidth="1"/>
    <col min="3" max="3" width="12.7109375" style="8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8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0" t="s">
        <v>48</v>
      </c>
      <c r="I1" s="41" t="s">
        <v>49</v>
      </c>
      <c r="J1" s="42" t="s">
        <v>50</v>
      </c>
    </row>
    <row r="2" spans="1:16" x14ac:dyDescent="0.2">
      <c r="I2" s="43" t="s">
        <v>51</v>
      </c>
      <c r="J2" s="44" t="s">
        <v>52</v>
      </c>
    </row>
    <row r="3" spans="1:16" x14ac:dyDescent="0.2">
      <c r="A3" s="45" t="s">
        <v>53</v>
      </c>
      <c r="I3" s="43" t="s">
        <v>54</v>
      </c>
      <c r="J3" s="44" t="s">
        <v>55</v>
      </c>
    </row>
    <row r="4" spans="1:16" x14ac:dyDescent="0.2">
      <c r="I4" s="43" t="s">
        <v>56</v>
      </c>
      <c r="J4" s="44" t="s">
        <v>55</v>
      </c>
    </row>
    <row r="5" spans="1:16" ht="13.5" thickBot="1" x14ac:dyDescent="0.25">
      <c r="I5" s="46" t="s">
        <v>57</v>
      </c>
      <c r="J5" s="47" t="s">
        <v>46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MSAI 43.323 </v>
      </c>
      <c r="B11" s="17" t="str">
        <f t="shared" ref="B11:B42" si="1">IF(H11=INT(H11),"I","II")</f>
        <v>I</v>
      </c>
      <c r="C11" s="8">
        <f t="shared" ref="C11:C42" si="2">1*G11</f>
        <v>37188.334999999999</v>
      </c>
      <c r="D11" s="14" t="str">
        <f t="shared" ref="D11:D42" si="3">VLOOKUP(F11,I$1:J$5,2,FALSE)</f>
        <v>vis</v>
      </c>
      <c r="E11" s="48">
        <f>VLOOKUP(C11,Active!C$21:E$973,3,FALSE)</f>
        <v>0</v>
      </c>
      <c r="F11" s="17" t="s">
        <v>57</v>
      </c>
      <c r="G11" s="14" t="str">
        <f t="shared" ref="G11:G42" si="4">MID(I11,3,LEN(I11)-3)</f>
        <v>37188.335</v>
      </c>
      <c r="H11" s="8">
        <f t="shared" ref="H11:H42" si="5">1*K11</f>
        <v>0</v>
      </c>
      <c r="I11" s="49" t="s">
        <v>181</v>
      </c>
      <c r="J11" s="50" t="s">
        <v>182</v>
      </c>
      <c r="K11" s="49">
        <v>0</v>
      </c>
      <c r="L11" s="49" t="s">
        <v>183</v>
      </c>
      <c r="M11" s="50" t="s">
        <v>63</v>
      </c>
      <c r="N11" s="50"/>
      <c r="O11" s="51" t="s">
        <v>184</v>
      </c>
      <c r="P11" s="51" t="s">
        <v>185</v>
      </c>
    </row>
    <row r="12" spans="1:16" ht="12.75" customHeight="1" thickBot="1" x14ac:dyDescent="0.25">
      <c r="A12" s="8" t="str">
        <f t="shared" si="0"/>
        <v>BAVM 241 (=IBVS 6157) </v>
      </c>
      <c r="B12" s="17" t="str">
        <f t="shared" si="1"/>
        <v>I</v>
      </c>
      <c r="C12" s="8">
        <f t="shared" si="2"/>
        <v>57248.530899999998</v>
      </c>
      <c r="D12" s="14" t="str">
        <f t="shared" si="3"/>
        <v>vis</v>
      </c>
      <c r="E12" s="48">
        <f>VLOOKUP(C12,Active!C$21:E$973,3,FALSE)</f>
        <v>3791.9326569922287</v>
      </c>
      <c r="F12" s="17" t="s">
        <v>57</v>
      </c>
      <c r="G12" s="14" t="str">
        <f t="shared" si="4"/>
        <v>57248.5309</v>
      </c>
      <c r="H12" s="8">
        <f t="shared" si="5"/>
        <v>3792</v>
      </c>
      <c r="I12" s="49" t="s">
        <v>234</v>
      </c>
      <c r="J12" s="50" t="s">
        <v>235</v>
      </c>
      <c r="K12" s="49" t="s">
        <v>236</v>
      </c>
      <c r="L12" s="49" t="s">
        <v>237</v>
      </c>
      <c r="M12" s="50" t="s">
        <v>220</v>
      </c>
      <c r="N12" s="50" t="s">
        <v>57</v>
      </c>
      <c r="O12" s="51" t="s">
        <v>238</v>
      </c>
      <c r="P12" s="52" t="s">
        <v>239</v>
      </c>
    </row>
    <row r="13" spans="1:16" ht="12.75" customHeight="1" thickBot="1" x14ac:dyDescent="0.25">
      <c r="A13" s="8" t="str">
        <f t="shared" si="0"/>
        <v>BAVM 174 </v>
      </c>
      <c r="B13" s="17" t="str">
        <f t="shared" si="1"/>
        <v>I</v>
      </c>
      <c r="C13" s="8">
        <f t="shared" si="2"/>
        <v>53217.39</v>
      </c>
      <c r="D13" s="14" t="str">
        <f t="shared" si="3"/>
        <v>vis</v>
      </c>
      <c r="E13" s="48">
        <f>VLOOKUP(C13,Active!C$21:E$973,3,FALSE)</f>
        <v>3029.9353714299755</v>
      </c>
      <c r="F13" s="17" t="s">
        <v>57</v>
      </c>
      <c r="G13" s="14" t="str">
        <f t="shared" si="4"/>
        <v>53217.390</v>
      </c>
      <c r="H13" s="8">
        <f t="shared" si="5"/>
        <v>3030</v>
      </c>
      <c r="I13" s="49" t="s">
        <v>208</v>
      </c>
      <c r="J13" s="50" t="s">
        <v>209</v>
      </c>
      <c r="K13" s="49">
        <v>3030</v>
      </c>
      <c r="L13" s="49" t="s">
        <v>210</v>
      </c>
      <c r="M13" s="50" t="s">
        <v>118</v>
      </c>
      <c r="N13" s="50"/>
      <c r="O13" s="51" t="s">
        <v>206</v>
      </c>
      <c r="P13" s="52" t="s">
        <v>211</v>
      </c>
    </row>
    <row r="14" spans="1:16" ht="12.75" customHeight="1" thickBot="1" x14ac:dyDescent="0.25">
      <c r="A14" s="8" t="str">
        <f t="shared" si="0"/>
        <v> KVB 31 </v>
      </c>
      <c r="B14" s="17" t="str">
        <f t="shared" si="1"/>
        <v>I</v>
      </c>
      <c r="C14" s="8">
        <f t="shared" si="2"/>
        <v>14583.584999999999</v>
      </c>
      <c r="D14" s="14" t="str">
        <f t="shared" si="3"/>
        <v>vis</v>
      </c>
      <c r="E14" s="48">
        <f>VLOOKUP(C14,Active!C$21:E$973,3,FALSE)</f>
        <v>-4272.9238615334307</v>
      </c>
      <c r="F14" s="17" t="s">
        <v>57</v>
      </c>
      <c r="G14" s="14" t="str">
        <f t="shared" si="4"/>
        <v>14583.585</v>
      </c>
      <c r="H14" s="8">
        <f t="shared" si="5"/>
        <v>-4273</v>
      </c>
      <c r="I14" s="49" t="s">
        <v>60</v>
      </c>
      <c r="J14" s="50" t="s">
        <v>61</v>
      </c>
      <c r="K14" s="49">
        <v>-4273</v>
      </c>
      <c r="L14" s="49" t="s">
        <v>62</v>
      </c>
      <c r="M14" s="50" t="s">
        <v>63</v>
      </c>
      <c r="N14" s="50"/>
      <c r="O14" s="51" t="s">
        <v>64</v>
      </c>
      <c r="P14" s="51" t="s">
        <v>65</v>
      </c>
    </row>
    <row r="15" spans="1:16" ht="12.75" customHeight="1" thickBot="1" x14ac:dyDescent="0.25">
      <c r="A15" s="8" t="str">
        <f t="shared" si="0"/>
        <v> KVB 31 </v>
      </c>
      <c r="B15" s="17" t="str">
        <f t="shared" si="1"/>
        <v>I</v>
      </c>
      <c r="C15" s="8">
        <f t="shared" si="2"/>
        <v>16387.670999999998</v>
      </c>
      <c r="D15" s="14" t="str">
        <f t="shared" si="3"/>
        <v>vis</v>
      </c>
      <c r="E15" s="48">
        <f>VLOOKUP(C15,Active!C$21:E$973,3,FALSE)</f>
        <v>-3931.9016375469496</v>
      </c>
      <c r="F15" s="17" t="s">
        <v>57</v>
      </c>
      <c r="G15" s="14" t="str">
        <f t="shared" si="4"/>
        <v>16387.671</v>
      </c>
      <c r="H15" s="8">
        <f t="shared" si="5"/>
        <v>-3932</v>
      </c>
      <c r="I15" s="49" t="s">
        <v>66</v>
      </c>
      <c r="J15" s="50" t="s">
        <v>67</v>
      </c>
      <c r="K15" s="49">
        <v>-3932</v>
      </c>
      <c r="L15" s="49" t="s">
        <v>68</v>
      </c>
      <c r="M15" s="50" t="s">
        <v>63</v>
      </c>
      <c r="N15" s="50"/>
      <c r="O15" s="51" t="s">
        <v>64</v>
      </c>
      <c r="P15" s="51" t="s">
        <v>65</v>
      </c>
    </row>
    <row r="16" spans="1:16" ht="12.75" customHeight="1" thickBot="1" x14ac:dyDescent="0.25">
      <c r="A16" s="8" t="str">
        <f t="shared" si="0"/>
        <v> KVB 31 </v>
      </c>
      <c r="B16" s="17" t="str">
        <f t="shared" si="1"/>
        <v>I</v>
      </c>
      <c r="C16" s="8">
        <f t="shared" si="2"/>
        <v>16440.588</v>
      </c>
      <c r="D16" s="14" t="str">
        <f t="shared" si="3"/>
        <v>vis</v>
      </c>
      <c r="E16" s="48">
        <f>VLOOKUP(C16,Active!C$21:E$973,3,FALSE)</f>
        <v>-3921.8988588397856</v>
      </c>
      <c r="F16" s="17" t="s">
        <v>57</v>
      </c>
      <c r="G16" s="14" t="str">
        <f t="shared" si="4"/>
        <v>16440.588</v>
      </c>
      <c r="H16" s="8">
        <f t="shared" si="5"/>
        <v>-3922</v>
      </c>
      <c r="I16" s="49" t="s">
        <v>69</v>
      </c>
      <c r="J16" s="50" t="s">
        <v>70</v>
      </c>
      <c r="K16" s="49">
        <v>-3922</v>
      </c>
      <c r="L16" s="49" t="s">
        <v>71</v>
      </c>
      <c r="M16" s="50" t="s">
        <v>63</v>
      </c>
      <c r="N16" s="50"/>
      <c r="O16" s="51" t="s">
        <v>64</v>
      </c>
      <c r="P16" s="51" t="s">
        <v>65</v>
      </c>
    </row>
    <row r="17" spans="1:16" ht="12.75" customHeight="1" thickBot="1" x14ac:dyDescent="0.25">
      <c r="A17" s="8" t="str">
        <f t="shared" si="0"/>
        <v> KVB 31 </v>
      </c>
      <c r="B17" s="17" t="str">
        <f t="shared" si="1"/>
        <v>I</v>
      </c>
      <c r="C17" s="8">
        <f t="shared" si="2"/>
        <v>16477.476999999999</v>
      </c>
      <c r="D17" s="14" t="str">
        <f t="shared" si="3"/>
        <v>vis</v>
      </c>
      <c r="E17" s="48">
        <f>VLOOKUP(C17,Active!C$21:E$973,3,FALSE)</f>
        <v>-3914.9258160798299</v>
      </c>
      <c r="F17" s="17" t="s">
        <v>57</v>
      </c>
      <c r="G17" s="14" t="str">
        <f t="shared" si="4"/>
        <v>16477.477</v>
      </c>
      <c r="H17" s="8">
        <f t="shared" si="5"/>
        <v>-3915</v>
      </c>
      <c r="I17" s="49" t="s">
        <v>72</v>
      </c>
      <c r="J17" s="50" t="s">
        <v>73</v>
      </c>
      <c r="K17" s="49">
        <v>-3915</v>
      </c>
      <c r="L17" s="49" t="s">
        <v>74</v>
      </c>
      <c r="M17" s="50" t="s">
        <v>63</v>
      </c>
      <c r="N17" s="50"/>
      <c r="O17" s="51" t="s">
        <v>64</v>
      </c>
      <c r="P17" s="51" t="s">
        <v>65</v>
      </c>
    </row>
    <row r="18" spans="1:16" ht="12.75" customHeight="1" thickBot="1" x14ac:dyDescent="0.25">
      <c r="A18" s="8" t="str">
        <f t="shared" si="0"/>
        <v> KVB 31 </v>
      </c>
      <c r="B18" s="17" t="str">
        <f t="shared" si="1"/>
        <v>I</v>
      </c>
      <c r="C18" s="8">
        <f t="shared" si="2"/>
        <v>16683.832999999999</v>
      </c>
      <c r="D18" s="14" t="str">
        <f t="shared" si="3"/>
        <v>vis</v>
      </c>
      <c r="E18" s="48">
        <f>VLOOKUP(C18,Active!C$21:E$973,3,FALSE)</f>
        <v>-3875.9188163841645</v>
      </c>
      <c r="F18" s="17" t="s">
        <v>57</v>
      </c>
      <c r="G18" s="14" t="str">
        <f t="shared" si="4"/>
        <v>16683.833</v>
      </c>
      <c r="H18" s="8">
        <f t="shared" si="5"/>
        <v>-3876</v>
      </c>
      <c r="I18" s="49" t="s">
        <v>75</v>
      </c>
      <c r="J18" s="50" t="s">
        <v>76</v>
      </c>
      <c r="K18" s="49">
        <v>-3876</v>
      </c>
      <c r="L18" s="49" t="s">
        <v>77</v>
      </c>
      <c r="M18" s="50" t="s">
        <v>63</v>
      </c>
      <c r="N18" s="50"/>
      <c r="O18" s="51" t="s">
        <v>64</v>
      </c>
      <c r="P18" s="51" t="s">
        <v>65</v>
      </c>
    </row>
    <row r="19" spans="1:16" ht="12.75" customHeight="1" thickBot="1" x14ac:dyDescent="0.25">
      <c r="A19" s="8" t="str">
        <f t="shared" si="0"/>
        <v> KVB 31 </v>
      </c>
      <c r="B19" s="17" t="str">
        <f t="shared" si="1"/>
        <v>I</v>
      </c>
      <c r="C19" s="8">
        <f t="shared" si="2"/>
        <v>16821.577000000001</v>
      </c>
      <c r="D19" s="14" t="str">
        <f t="shared" si="3"/>
        <v>vis</v>
      </c>
      <c r="E19" s="48">
        <f>VLOOKUP(C19,Active!C$21:E$973,3,FALSE)</f>
        <v>-3849.8813851193609</v>
      </c>
      <c r="F19" s="17" t="s">
        <v>57</v>
      </c>
      <c r="G19" s="14" t="str">
        <f t="shared" si="4"/>
        <v>16821.577</v>
      </c>
      <c r="H19" s="8">
        <f t="shared" si="5"/>
        <v>-3850</v>
      </c>
      <c r="I19" s="49" t="s">
        <v>78</v>
      </c>
      <c r="J19" s="50" t="s">
        <v>79</v>
      </c>
      <c r="K19" s="49">
        <v>-3850</v>
      </c>
      <c r="L19" s="49" t="s">
        <v>80</v>
      </c>
      <c r="M19" s="50" t="s">
        <v>63</v>
      </c>
      <c r="N19" s="50"/>
      <c r="O19" s="51" t="s">
        <v>64</v>
      </c>
      <c r="P19" s="51" t="s">
        <v>65</v>
      </c>
    </row>
    <row r="20" spans="1:16" ht="12.75" customHeight="1" thickBot="1" x14ac:dyDescent="0.25">
      <c r="A20" s="8" t="str">
        <f t="shared" si="0"/>
        <v> KVB 31 </v>
      </c>
      <c r="B20" s="17" t="str">
        <f t="shared" si="1"/>
        <v>I</v>
      </c>
      <c r="C20" s="8">
        <f t="shared" si="2"/>
        <v>17133.534</v>
      </c>
      <c r="D20" s="14" t="str">
        <f t="shared" si="3"/>
        <v>vis</v>
      </c>
      <c r="E20" s="48">
        <f>VLOOKUP(C20,Active!C$21:E$973,3,FALSE)</f>
        <v>-3790.9128714630551</v>
      </c>
      <c r="F20" s="17" t="s">
        <v>57</v>
      </c>
      <c r="G20" s="14" t="str">
        <f t="shared" si="4"/>
        <v>17133.534</v>
      </c>
      <c r="H20" s="8">
        <f t="shared" si="5"/>
        <v>-3791</v>
      </c>
      <c r="I20" s="49" t="s">
        <v>81</v>
      </c>
      <c r="J20" s="50" t="s">
        <v>82</v>
      </c>
      <c r="K20" s="49">
        <v>-3791</v>
      </c>
      <c r="L20" s="49" t="s">
        <v>83</v>
      </c>
      <c r="M20" s="50" t="s">
        <v>63</v>
      </c>
      <c r="N20" s="50"/>
      <c r="O20" s="51" t="s">
        <v>64</v>
      </c>
      <c r="P20" s="51" t="s">
        <v>65</v>
      </c>
    </row>
    <row r="21" spans="1:16" ht="12.75" customHeight="1" thickBot="1" x14ac:dyDescent="0.25">
      <c r="A21" s="8" t="str">
        <f t="shared" si="0"/>
        <v> PZ 3.30 </v>
      </c>
      <c r="B21" s="17" t="str">
        <f t="shared" si="1"/>
        <v>I</v>
      </c>
      <c r="C21" s="8">
        <f t="shared" si="2"/>
        <v>17472.12</v>
      </c>
      <c r="D21" s="14" t="str">
        <f t="shared" si="3"/>
        <v>vis</v>
      </c>
      <c r="E21" s="48">
        <f>VLOOKUP(C21,Active!C$21:E$973,3,FALSE)</f>
        <v>-3726.9107392306191</v>
      </c>
      <c r="F21" s="17" t="s">
        <v>57</v>
      </c>
      <c r="G21" s="14" t="str">
        <f t="shared" si="4"/>
        <v>17472.12</v>
      </c>
      <c r="H21" s="8">
        <f t="shared" si="5"/>
        <v>-3727</v>
      </c>
      <c r="I21" s="49" t="s">
        <v>84</v>
      </c>
      <c r="J21" s="50" t="s">
        <v>85</v>
      </c>
      <c r="K21" s="49">
        <v>-3727</v>
      </c>
      <c r="L21" s="49" t="s">
        <v>86</v>
      </c>
      <c r="M21" s="50" t="s">
        <v>63</v>
      </c>
      <c r="N21" s="50"/>
      <c r="O21" s="51" t="s">
        <v>87</v>
      </c>
      <c r="P21" s="51" t="s">
        <v>88</v>
      </c>
    </row>
    <row r="22" spans="1:16" ht="12.75" customHeight="1" thickBot="1" x14ac:dyDescent="0.25">
      <c r="A22" s="8" t="str">
        <f t="shared" si="0"/>
        <v> KVB 31 </v>
      </c>
      <c r="B22" s="17" t="str">
        <f t="shared" si="1"/>
        <v>I</v>
      </c>
      <c r="C22" s="8">
        <f t="shared" si="2"/>
        <v>17482.587</v>
      </c>
      <c r="D22" s="14" t="str">
        <f t="shared" si="3"/>
        <v>vis</v>
      </c>
      <c r="E22" s="48">
        <f>VLOOKUP(C22,Active!C$21:E$973,3,FALSE)</f>
        <v>-3724.9321863132604</v>
      </c>
      <c r="F22" s="17" t="s">
        <v>57</v>
      </c>
      <c r="G22" s="14" t="str">
        <f t="shared" si="4"/>
        <v>17482.587</v>
      </c>
      <c r="H22" s="8">
        <f t="shared" si="5"/>
        <v>-3725</v>
      </c>
      <c r="I22" s="49" t="s">
        <v>89</v>
      </c>
      <c r="J22" s="50" t="s">
        <v>90</v>
      </c>
      <c r="K22" s="49">
        <v>-3725</v>
      </c>
      <c r="L22" s="49" t="s">
        <v>91</v>
      </c>
      <c r="M22" s="50" t="s">
        <v>63</v>
      </c>
      <c r="N22" s="50"/>
      <c r="O22" s="51" t="s">
        <v>64</v>
      </c>
      <c r="P22" s="51" t="s">
        <v>65</v>
      </c>
    </row>
    <row r="23" spans="1:16" ht="12.75" customHeight="1" thickBot="1" x14ac:dyDescent="0.25">
      <c r="A23" s="8" t="str">
        <f t="shared" si="0"/>
        <v> KVB 31 </v>
      </c>
      <c r="B23" s="17" t="str">
        <f t="shared" si="1"/>
        <v>I</v>
      </c>
      <c r="C23" s="8">
        <f t="shared" si="2"/>
        <v>17879.599999999999</v>
      </c>
      <c r="D23" s="14" t="str">
        <f t="shared" si="3"/>
        <v>vis</v>
      </c>
      <c r="E23" s="48">
        <f>VLOOKUP(C23,Active!C$21:E$973,3,FALSE)</f>
        <v>-3649.8857327564206</v>
      </c>
      <c r="F23" s="17" t="s">
        <v>57</v>
      </c>
      <c r="G23" s="14" t="str">
        <f t="shared" si="4"/>
        <v>17879.600</v>
      </c>
      <c r="H23" s="8">
        <f t="shared" si="5"/>
        <v>-3650</v>
      </c>
      <c r="I23" s="49" t="s">
        <v>92</v>
      </c>
      <c r="J23" s="50" t="s">
        <v>93</v>
      </c>
      <c r="K23" s="49">
        <v>-3650</v>
      </c>
      <c r="L23" s="49" t="s">
        <v>94</v>
      </c>
      <c r="M23" s="50" t="s">
        <v>63</v>
      </c>
      <c r="N23" s="50"/>
      <c r="O23" s="51" t="s">
        <v>64</v>
      </c>
      <c r="P23" s="51" t="s">
        <v>65</v>
      </c>
    </row>
    <row r="24" spans="1:16" ht="12.75" customHeight="1" thickBot="1" x14ac:dyDescent="0.25">
      <c r="A24" s="8" t="str">
        <f t="shared" si="0"/>
        <v> PZ 3.30 </v>
      </c>
      <c r="B24" s="17" t="str">
        <f t="shared" si="1"/>
        <v>I</v>
      </c>
      <c r="C24" s="8">
        <f t="shared" si="2"/>
        <v>18239.259999999998</v>
      </c>
      <c r="D24" s="14" t="str">
        <f t="shared" si="3"/>
        <v>vis</v>
      </c>
      <c r="E24" s="48">
        <f>VLOOKUP(C24,Active!C$21:E$973,3,FALSE)</f>
        <v>-3581.9000308115146</v>
      </c>
      <c r="F24" s="17" t="s">
        <v>57</v>
      </c>
      <c r="G24" s="14" t="str">
        <f t="shared" si="4"/>
        <v>18239.26</v>
      </c>
      <c r="H24" s="8">
        <f t="shared" si="5"/>
        <v>-3582</v>
      </c>
      <c r="I24" s="49" t="s">
        <v>95</v>
      </c>
      <c r="J24" s="50" t="s">
        <v>96</v>
      </c>
      <c r="K24" s="49">
        <v>-3582</v>
      </c>
      <c r="L24" s="49" t="s">
        <v>97</v>
      </c>
      <c r="M24" s="50" t="s">
        <v>63</v>
      </c>
      <c r="N24" s="50"/>
      <c r="O24" s="51" t="s">
        <v>87</v>
      </c>
      <c r="P24" s="51" t="s">
        <v>88</v>
      </c>
    </row>
    <row r="25" spans="1:16" ht="12.75" customHeight="1" thickBot="1" x14ac:dyDescent="0.25">
      <c r="A25" s="8" t="str">
        <f t="shared" si="0"/>
        <v> KVB 31 </v>
      </c>
      <c r="B25" s="17" t="str">
        <f t="shared" si="1"/>
        <v>I</v>
      </c>
      <c r="C25" s="8">
        <f t="shared" si="2"/>
        <v>18958.589</v>
      </c>
      <c r="D25" s="14" t="str">
        <f t="shared" si="3"/>
        <v>vis</v>
      </c>
      <c r="E25" s="48">
        <f>VLOOKUP(C25,Active!C$21:E$973,3,FALSE)</f>
        <v>-3445.9269256724183</v>
      </c>
      <c r="F25" s="17" t="s">
        <v>57</v>
      </c>
      <c r="G25" s="14" t="str">
        <f t="shared" si="4"/>
        <v>18958.589</v>
      </c>
      <c r="H25" s="8">
        <f t="shared" si="5"/>
        <v>-3446</v>
      </c>
      <c r="I25" s="49" t="s">
        <v>98</v>
      </c>
      <c r="J25" s="50" t="s">
        <v>99</v>
      </c>
      <c r="K25" s="49">
        <v>-3446</v>
      </c>
      <c r="L25" s="49" t="s">
        <v>100</v>
      </c>
      <c r="M25" s="50" t="s">
        <v>63</v>
      </c>
      <c r="N25" s="50"/>
      <c r="O25" s="51" t="s">
        <v>64</v>
      </c>
      <c r="P25" s="51" t="s">
        <v>65</v>
      </c>
    </row>
    <row r="26" spans="1:16" ht="12.75" customHeight="1" thickBot="1" x14ac:dyDescent="0.25">
      <c r="A26" s="8" t="str">
        <f t="shared" si="0"/>
        <v> KVB 31 </v>
      </c>
      <c r="B26" s="17" t="str">
        <f t="shared" si="1"/>
        <v>I</v>
      </c>
      <c r="C26" s="8">
        <f t="shared" si="2"/>
        <v>20053.631000000001</v>
      </c>
      <c r="D26" s="14" t="str">
        <f t="shared" si="3"/>
        <v>vis</v>
      </c>
      <c r="E26" s="48">
        <f>VLOOKUP(C26,Active!C$21:E$973,3,FALSE)</f>
        <v>-3238.9336569487523</v>
      </c>
      <c r="F26" s="17" t="s">
        <v>57</v>
      </c>
      <c r="G26" s="14" t="str">
        <f t="shared" si="4"/>
        <v>20053.631</v>
      </c>
      <c r="H26" s="8">
        <f t="shared" si="5"/>
        <v>-3239</v>
      </c>
      <c r="I26" s="49" t="s">
        <v>101</v>
      </c>
      <c r="J26" s="50" t="s">
        <v>102</v>
      </c>
      <c r="K26" s="49">
        <v>-3239</v>
      </c>
      <c r="L26" s="49" t="s">
        <v>103</v>
      </c>
      <c r="M26" s="50" t="s">
        <v>63</v>
      </c>
      <c r="N26" s="50"/>
      <c r="O26" s="51" t="s">
        <v>64</v>
      </c>
      <c r="P26" s="51" t="s">
        <v>65</v>
      </c>
    </row>
    <row r="27" spans="1:16" ht="12.75" customHeight="1" thickBot="1" x14ac:dyDescent="0.25">
      <c r="A27" s="8" t="str">
        <f t="shared" si="0"/>
        <v> KVB 31 </v>
      </c>
      <c r="B27" s="17" t="str">
        <f t="shared" si="1"/>
        <v>I</v>
      </c>
      <c r="C27" s="8">
        <f t="shared" si="2"/>
        <v>21889.616999999998</v>
      </c>
      <c r="D27" s="14" t="str">
        <f t="shared" si="3"/>
        <v>vis</v>
      </c>
      <c r="E27" s="48">
        <f>VLOOKUP(C27,Active!C$21:E$973,3,FALSE)</f>
        <v>-2891.8814493887789</v>
      </c>
      <c r="F27" s="17" t="s">
        <v>57</v>
      </c>
      <c r="G27" s="14" t="str">
        <f t="shared" si="4"/>
        <v>21889.617</v>
      </c>
      <c r="H27" s="8">
        <f t="shared" si="5"/>
        <v>-2892</v>
      </c>
      <c r="I27" s="49" t="s">
        <v>104</v>
      </c>
      <c r="J27" s="50" t="s">
        <v>105</v>
      </c>
      <c r="K27" s="49">
        <v>-2892</v>
      </c>
      <c r="L27" s="49" t="s">
        <v>106</v>
      </c>
      <c r="M27" s="50" t="s">
        <v>63</v>
      </c>
      <c r="N27" s="50"/>
      <c r="O27" s="51" t="s">
        <v>64</v>
      </c>
      <c r="P27" s="51" t="s">
        <v>65</v>
      </c>
    </row>
    <row r="28" spans="1:16" ht="12.75" customHeight="1" thickBot="1" x14ac:dyDescent="0.25">
      <c r="A28" s="8" t="str">
        <f t="shared" si="0"/>
        <v> KVB 31 </v>
      </c>
      <c r="B28" s="17" t="str">
        <f t="shared" si="1"/>
        <v>I</v>
      </c>
      <c r="C28" s="8">
        <f t="shared" si="2"/>
        <v>21963.516</v>
      </c>
      <c r="D28" s="14" t="str">
        <f t="shared" si="3"/>
        <v>vis</v>
      </c>
      <c r="E28" s="48">
        <f>VLOOKUP(C28,Active!C$21:E$973,3,FALSE)</f>
        <v>-2877.912491517382</v>
      </c>
      <c r="F28" s="17" t="s">
        <v>57</v>
      </c>
      <c r="G28" s="14" t="str">
        <f t="shared" si="4"/>
        <v>21963.516</v>
      </c>
      <c r="H28" s="8">
        <f t="shared" si="5"/>
        <v>-2878</v>
      </c>
      <c r="I28" s="49" t="s">
        <v>107</v>
      </c>
      <c r="J28" s="50" t="s">
        <v>108</v>
      </c>
      <c r="K28" s="49">
        <v>-2878</v>
      </c>
      <c r="L28" s="49" t="s">
        <v>109</v>
      </c>
      <c r="M28" s="50" t="s">
        <v>63</v>
      </c>
      <c r="N28" s="50"/>
      <c r="O28" s="51" t="s">
        <v>64</v>
      </c>
      <c r="P28" s="51" t="s">
        <v>65</v>
      </c>
    </row>
    <row r="29" spans="1:16" ht="12.75" customHeight="1" thickBot="1" x14ac:dyDescent="0.25">
      <c r="A29" s="8" t="str">
        <f t="shared" si="0"/>
        <v> KVBB 4.25 </v>
      </c>
      <c r="B29" s="17" t="str">
        <f t="shared" si="1"/>
        <v>I</v>
      </c>
      <c r="C29" s="8">
        <f t="shared" si="2"/>
        <v>24714.46</v>
      </c>
      <c r="D29" s="14" t="str">
        <f t="shared" si="3"/>
        <v>vis</v>
      </c>
      <c r="E29" s="48">
        <f>VLOOKUP(C29,Active!C$21:E$973,3,FALSE)</f>
        <v>-2357.9078792415453</v>
      </c>
      <c r="F29" s="17" t="s">
        <v>57</v>
      </c>
      <c r="G29" s="14" t="str">
        <f t="shared" si="4"/>
        <v>24714.46</v>
      </c>
      <c r="H29" s="8">
        <f t="shared" si="5"/>
        <v>-2358</v>
      </c>
      <c r="I29" s="49" t="s">
        <v>110</v>
      </c>
      <c r="J29" s="50" t="s">
        <v>111</v>
      </c>
      <c r="K29" s="49">
        <v>-2358</v>
      </c>
      <c r="L29" s="49" t="s">
        <v>112</v>
      </c>
      <c r="M29" s="50" t="s">
        <v>59</v>
      </c>
      <c r="N29" s="50"/>
      <c r="O29" s="51" t="s">
        <v>113</v>
      </c>
      <c r="P29" s="51" t="s">
        <v>114</v>
      </c>
    </row>
    <row r="30" spans="1:16" ht="12.75" customHeight="1" thickBot="1" x14ac:dyDescent="0.25">
      <c r="A30" s="8" t="str">
        <f t="shared" si="0"/>
        <v> AN 258.290 </v>
      </c>
      <c r="B30" s="17" t="str">
        <f t="shared" si="1"/>
        <v>I</v>
      </c>
      <c r="C30" s="8">
        <f t="shared" si="2"/>
        <v>25116.3</v>
      </c>
      <c r="D30" s="14" t="str">
        <f t="shared" si="3"/>
        <v>vis</v>
      </c>
      <c r="E30" s="48">
        <f>VLOOKUP(C30,Active!C$21:E$973,3,FALSE)</f>
        <v>-2281.9489889853558</v>
      </c>
      <c r="F30" s="17" t="s">
        <v>57</v>
      </c>
      <c r="G30" s="14" t="str">
        <f t="shared" si="4"/>
        <v>25116.30</v>
      </c>
      <c r="H30" s="8">
        <f t="shared" si="5"/>
        <v>-2282</v>
      </c>
      <c r="I30" s="49" t="s">
        <v>115</v>
      </c>
      <c r="J30" s="50" t="s">
        <v>116</v>
      </c>
      <c r="K30" s="49">
        <v>-2282</v>
      </c>
      <c r="L30" s="49" t="s">
        <v>117</v>
      </c>
      <c r="M30" s="50" t="s">
        <v>118</v>
      </c>
      <c r="N30" s="50"/>
      <c r="O30" s="51" t="s">
        <v>119</v>
      </c>
      <c r="P30" s="51" t="s">
        <v>120</v>
      </c>
    </row>
    <row r="31" spans="1:16" ht="12.75" customHeight="1" thickBot="1" x14ac:dyDescent="0.25">
      <c r="A31" s="8" t="str">
        <f t="shared" si="0"/>
        <v> KVB 31 </v>
      </c>
      <c r="B31" s="17" t="str">
        <f t="shared" si="1"/>
        <v>I</v>
      </c>
      <c r="C31" s="8">
        <f t="shared" si="2"/>
        <v>26560.696</v>
      </c>
      <c r="D31" s="14" t="str">
        <f t="shared" si="3"/>
        <v>vis</v>
      </c>
      <c r="E31" s="48">
        <f>VLOOKUP(C31,Active!C$21:E$973,3,FALSE)</f>
        <v>-2008.9181377747279</v>
      </c>
      <c r="F31" s="17" t="s">
        <v>57</v>
      </c>
      <c r="G31" s="14" t="str">
        <f t="shared" si="4"/>
        <v>26560.696</v>
      </c>
      <c r="H31" s="8">
        <f t="shared" si="5"/>
        <v>-2009</v>
      </c>
      <c r="I31" s="49" t="s">
        <v>121</v>
      </c>
      <c r="J31" s="50" t="s">
        <v>122</v>
      </c>
      <c r="K31" s="49">
        <v>-2009</v>
      </c>
      <c r="L31" s="49" t="s">
        <v>123</v>
      </c>
      <c r="M31" s="50" t="s">
        <v>63</v>
      </c>
      <c r="N31" s="50"/>
      <c r="O31" s="51" t="s">
        <v>64</v>
      </c>
      <c r="P31" s="51" t="s">
        <v>65</v>
      </c>
    </row>
    <row r="32" spans="1:16" ht="12.75" customHeight="1" thickBot="1" x14ac:dyDescent="0.25">
      <c r="A32" s="8" t="str">
        <f t="shared" si="0"/>
        <v> KVB 31 </v>
      </c>
      <c r="B32" s="17" t="str">
        <f t="shared" si="1"/>
        <v>I</v>
      </c>
      <c r="C32" s="8">
        <f t="shared" si="2"/>
        <v>26597.759999999998</v>
      </c>
      <c r="D32" s="14" t="str">
        <f t="shared" si="3"/>
        <v>vis</v>
      </c>
      <c r="E32" s="48">
        <f>VLOOKUP(C32,Active!C$21:E$973,3,FALSE)</f>
        <v>-2001.9120151675825</v>
      </c>
      <c r="F32" s="17" t="s">
        <v>57</v>
      </c>
      <c r="G32" s="14" t="str">
        <f t="shared" si="4"/>
        <v>26597.760</v>
      </c>
      <c r="H32" s="8">
        <f t="shared" si="5"/>
        <v>-2002</v>
      </c>
      <c r="I32" s="49" t="s">
        <v>124</v>
      </c>
      <c r="J32" s="50" t="s">
        <v>125</v>
      </c>
      <c r="K32" s="49">
        <v>-2002</v>
      </c>
      <c r="L32" s="49" t="s">
        <v>126</v>
      </c>
      <c r="M32" s="50" t="s">
        <v>63</v>
      </c>
      <c r="N32" s="50"/>
      <c r="O32" s="51" t="s">
        <v>64</v>
      </c>
      <c r="P32" s="51" t="s">
        <v>65</v>
      </c>
    </row>
    <row r="33" spans="1:16" ht="12.75" customHeight="1" thickBot="1" x14ac:dyDescent="0.25">
      <c r="A33" s="8" t="str">
        <f t="shared" si="0"/>
        <v> KVB 31 </v>
      </c>
      <c r="B33" s="17" t="str">
        <f t="shared" si="1"/>
        <v>I</v>
      </c>
      <c r="C33" s="8">
        <f t="shared" si="2"/>
        <v>26634.615000000002</v>
      </c>
      <c r="D33" s="14" t="str">
        <f t="shared" si="3"/>
        <v>vis</v>
      </c>
      <c r="E33" s="48">
        <f>VLOOKUP(C33,Active!C$21:E$973,3,FALSE)</f>
        <v>-1994.9453993493662</v>
      </c>
      <c r="F33" s="17" t="s">
        <v>57</v>
      </c>
      <c r="G33" s="14" t="str">
        <f t="shared" si="4"/>
        <v>26634.615</v>
      </c>
      <c r="H33" s="8">
        <f t="shared" si="5"/>
        <v>-1995</v>
      </c>
      <c r="I33" s="49" t="s">
        <v>127</v>
      </c>
      <c r="J33" s="50" t="s">
        <v>128</v>
      </c>
      <c r="K33" s="49">
        <v>-1995</v>
      </c>
      <c r="L33" s="49" t="s">
        <v>129</v>
      </c>
      <c r="M33" s="50" t="s">
        <v>63</v>
      </c>
      <c r="N33" s="50"/>
      <c r="O33" s="51" t="s">
        <v>64</v>
      </c>
      <c r="P33" s="51" t="s">
        <v>65</v>
      </c>
    </row>
    <row r="34" spans="1:16" ht="12.75" customHeight="1" thickBot="1" x14ac:dyDescent="0.25">
      <c r="A34" s="8" t="str">
        <f t="shared" si="0"/>
        <v> KVB 31 </v>
      </c>
      <c r="B34" s="17" t="str">
        <f t="shared" si="1"/>
        <v>I</v>
      </c>
      <c r="C34" s="8">
        <f t="shared" si="2"/>
        <v>26946.880000000001</v>
      </c>
      <c r="D34" s="14" t="str">
        <f t="shared" si="3"/>
        <v>vis</v>
      </c>
      <c r="E34" s="48">
        <f>VLOOKUP(C34,Active!C$21:E$973,3,FALSE)</f>
        <v>-1935.9186651620057</v>
      </c>
      <c r="F34" s="17" t="s">
        <v>57</v>
      </c>
      <c r="G34" s="14" t="str">
        <f t="shared" si="4"/>
        <v>26946.880</v>
      </c>
      <c r="H34" s="8">
        <f t="shared" si="5"/>
        <v>-1936</v>
      </c>
      <c r="I34" s="49" t="s">
        <v>130</v>
      </c>
      <c r="J34" s="50" t="s">
        <v>131</v>
      </c>
      <c r="K34" s="49">
        <v>-1936</v>
      </c>
      <c r="L34" s="49" t="s">
        <v>132</v>
      </c>
      <c r="M34" s="50" t="s">
        <v>63</v>
      </c>
      <c r="N34" s="50"/>
      <c r="O34" s="51" t="s">
        <v>133</v>
      </c>
      <c r="P34" s="51" t="s">
        <v>65</v>
      </c>
    </row>
    <row r="35" spans="1:16" ht="12.75" customHeight="1" thickBot="1" x14ac:dyDescent="0.25">
      <c r="A35" s="8" t="str">
        <f t="shared" si="0"/>
        <v> KVB 31 </v>
      </c>
      <c r="B35" s="17" t="str">
        <f t="shared" si="1"/>
        <v>I</v>
      </c>
      <c r="C35" s="8">
        <f t="shared" si="2"/>
        <v>27719.295999999998</v>
      </c>
      <c r="D35" s="14" t="str">
        <f t="shared" si="3"/>
        <v>vis</v>
      </c>
      <c r="E35" s="48">
        <f>VLOOKUP(C35,Active!C$21:E$973,3,FALSE)</f>
        <v>-1789.9106466070473</v>
      </c>
      <c r="F35" s="17" t="s">
        <v>57</v>
      </c>
      <c r="G35" s="14" t="str">
        <f t="shared" si="4"/>
        <v>27719.296</v>
      </c>
      <c r="H35" s="8">
        <f t="shared" si="5"/>
        <v>-1790</v>
      </c>
      <c r="I35" s="49" t="s">
        <v>134</v>
      </c>
      <c r="J35" s="50" t="s">
        <v>135</v>
      </c>
      <c r="K35" s="49">
        <v>-1790</v>
      </c>
      <c r="L35" s="49" t="s">
        <v>136</v>
      </c>
      <c r="M35" s="50" t="s">
        <v>63</v>
      </c>
      <c r="N35" s="50"/>
      <c r="O35" s="51" t="s">
        <v>133</v>
      </c>
      <c r="P35" s="51" t="s">
        <v>65</v>
      </c>
    </row>
    <row r="36" spans="1:16" ht="12.75" customHeight="1" thickBot="1" x14ac:dyDescent="0.25">
      <c r="A36" s="8" t="str">
        <f t="shared" si="0"/>
        <v> KVB 31 </v>
      </c>
      <c r="B36" s="17" t="str">
        <f t="shared" si="1"/>
        <v>I</v>
      </c>
      <c r="C36" s="8">
        <f t="shared" si="2"/>
        <v>28031.346000000001</v>
      </c>
      <c r="D36" s="14" t="str">
        <f t="shared" si="3"/>
        <v>vis</v>
      </c>
      <c r="E36" s="48">
        <f>VLOOKUP(C36,Active!C$21:E$973,3,FALSE)</f>
        <v>-1730.9245533748056</v>
      </c>
      <c r="F36" s="17" t="s">
        <v>57</v>
      </c>
      <c r="G36" s="14" t="str">
        <f t="shared" si="4"/>
        <v>28031.346</v>
      </c>
      <c r="H36" s="8">
        <f t="shared" si="5"/>
        <v>-1731</v>
      </c>
      <c r="I36" s="49" t="s">
        <v>137</v>
      </c>
      <c r="J36" s="50" t="s">
        <v>138</v>
      </c>
      <c r="K36" s="49">
        <v>-1731</v>
      </c>
      <c r="L36" s="49" t="s">
        <v>139</v>
      </c>
      <c r="M36" s="50" t="s">
        <v>59</v>
      </c>
      <c r="N36" s="50"/>
      <c r="O36" s="51" t="s">
        <v>133</v>
      </c>
      <c r="P36" s="51" t="s">
        <v>65</v>
      </c>
    </row>
    <row r="37" spans="1:16" ht="12.75" customHeight="1" thickBot="1" x14ac:dyDescent="0.25">
      <c r="A37" s="8" t="str">
        <f t="shared" si="0"/>
        <v> PZ 6.41 </v>
      </c>
      <c r="B37" s="17" t="str">
        <f t="shared" si="1"/>
        <v>I</v>
      </c>
      <c r="C37" s="8">
        <f t="shared" si="2"/>
        <v>29158.17</v>
      </c>
      <c r="D37" s="14" t="str">
        <f t="shared" si="3"/>
        <v>vis</v>
      </c>
      <c r="E37" s="48">
        <f>VLOOKUP(C37,Active!C$21:E$973,3,FALSE)</f>
        <v>-1517.923606346038</v>
      </c>
      <c r="F37" s="17" t="s">
        <v>57</v>
      </c>
      <c r="G37" s="14" t="str">
        <f t="shared" si="4"/>
        <v>29158.17</v>
      </c>
      <c r="H37" s="8">
        <f t="shared" si="5"/>
        <v>-1518</v>
      </c>
      <c r="I37" s="49" t="s">
        <v>140</v>
      </c>
      <c r="J37" s="50" t="s">
        <v>141</v>
      </c>
      <c r="K37" s="49">
        <v>-1518</v>
      </c>
      <c r="L37" s="49" t="s">
        <v>142</v>
      </c>
      <c r="M37" s="50" t="s">
        <v>59</v>
      </c>
      <c r="N37" s="50"/>
      <c r="O37" s="51" t="s">
        <v>143</v>
      </c>
      <c r="P37" s="51" t="s">
        <v>144</v>
      </c>
    </row>
    <row r="38" spans="1:16" ht="12.75" customHeight="1" thickBot="1" x14ac:dyDescent="0.25">
      <c r="A38" s="8" t="str">
        <f t="shared" si="0"/>
        <v> KVB 31 </v>
      </c>
      <c r="B38" s="17" t="str">
        <f t="shared" si="1"/>
        <v>I</v>
      </c>
      <c r="C38" s="8">
        <f t="shared" si="2"/>
        <v>29443.793000000001</v>
      </c>
      <c r="D38" s="14" t="str">
        <f t="shared" si="3"/>
        <v>vis</v>
      </c>
      <c r="E38" s="48">
        <f>VLOOKUP(C38,Active!C$21:E$973,3,FALSE)</f>
        <v>-1463.9329480948838</v>
      </c>
      <c r="F38" s="17" t="s">
        <v>57</v>
      </c>
      <c r="G38" s="14" t="str">
        <f t="shared" si="4"/>
        <v>29443.793</v>
      </c>
      <c r="H38" s="8">
        <f t="shared" si="5"/>
        <v>-1464</v>
      </c>
      <c r="I38" s="49" t="s">
        <v>145</v>
      </c>
      <c r="J38" s="50" t="s">
        <v>146</v>
      </c>
      <c r="K38" s="49">
        <v>-1464</v>
      </c>
      <c r="L38" s="49" t="s">
        <v>147</v>
      </c>
      <c r="M38" s="50" t="s">
        <v>63</v>
      </c>
      <c r="N38" s="50"/>
      <c r="O38" s="51" t="s">
        <v>64</v>
      </c>
      <c r="P38" s="51" t="s">
        <v>65</v>
      </c>
    </row>
    <row r="39" spans="1:16" ht="12.75" customHeight="1" thickBot="1" x14ac:dyDescent="0.25">
      <c r="A39" s="8" t="str">
        <f t="shared" si="0"/>
        <v> AJ 64.258 </v>
      </c>
      <c r="B39" s="17" t="str">
        <f t="shared" si="1"/>
        <v>I</v>
      </c>
      <c r="C39" s="8">
        <f t="shared" si="2"/>
        <v>33088.646000000001</v>
      </c>
      <c r="D39" s="14" t="str">
        <f t="shared" si="3"/>
        <v>vis</v>
      </c>
      <c r="E39" s="48">
        <f>VLOOKUP(C39,Active!C$21:E$973,3,FALSE)</f>
        <v>-774.95477512319849</v>
      </c>
      <c r="F39" s="17" t="s">
        <v>57</v>
      </c>
      <c r="G39" s="14" t="str">
        <f t="shared" si="4"/>
        <v>33088.646</v>
      </c>
      <c r="H39" s="8">
        <f t="shared" si="5"/>
        <v>-775</v>
      </c>
      <c r="I39" s="49" t="s">
        <v>148</v>
      </c>
      <c r="J39" s="50" t="s">
        <v>149</v>
      </c>
      <c r="K39" s="49">
        <v>-775</v>
      </c>
      <c r="L39" s="49" t="s">
        <v>150</v>
      </c>
      <c r="M39" s="50" t="s">
        <v>59</v>
      </c>
      <c r="N39" s="50"/>
      <c r="O39" s="51" t="s">
        <v>151</v>
      </c>
      <c r="P39" s="51" t="s">
        <v>152</v>
      </c>
    </row>
    <row r="40" spans="1:16" ht="12.75" customHeight="1" thickBot="1" x14ac:dyDescent="0.25">
      <c r="A40" s="8" t="str">
        <f t="shared" si="0"/>
        <v> AJ 64.258 </v>
      </c>
      <c r="B40" s="17" t="str">
        <f t="shared" si="1"/>
        <v>I</v>
      </c>
      <c r="C40" s="8">
        <f t="shared" si="2"/>
        <v>33273.777999999998</v>
      </c>
      <c r="D40" s="14" t="str">
        <f t="shared" si="3"/>
        <v>vis</v>
      </c>
      <c r="E40" s="48">
        <f>VLOOKUP(C40,Active!C$21:E$973,3,FALSE)</f>
        <v>-739.95969929473779</v>
      </c>
      <c r="F40" s="17" t="s">
        <v>57</v>
      </c>
      <c r="G40" s="14" t="str">
        <f t="shared" si="4"/>
        <v>33273.778</v>
      </c>
      <c r="H40" s="8">
        <f t="shared" si="5"/>
        <v>-740</v>
      </c>
      <c r="I40" s="49" t="s">
        <v>153</v>
      </c>
      <c r="J40" s="50" t="s">
        <v>154</v>
      </c>
      <c r="K40" s="49">
        <v>-740</v>
      </c>
      <c r="L40" s="49" t="s">
        <v>155</v>
      </c>
      <c r="M40" s="50" t="s">
        <v>59</v>
      </c>
      <c r="N40" s="50"/>
      <c r="O40" s="51" t="s">
        <v>151</v>
      </c>
      <c r="P40" s="51" t="s">
        <v>152</v>
      </c>
    </row>
    <row r="41" spans="1:16" ht="12.75" customHeight="1" thickBot="1" x14ac:dyDescent="0.25">
      <c r="A41" s="8" t="str">
        <f t="shared" si="0"/>
        <v> KVB 31 </v>
      </c>
      <c r="B41" s="17" t="str">
        <f t="shared" si="1"/>
        <v>I</v>
      </c>
      <c r="C41" s="8">
        <f t="shared" si="2"/>
        <v>33887.480000000003</v>
      </c>
      <c r="D41" s="14" t="str">
        <f t="shared" si="3"/>
        <v>vis</v>
      </c>
      <c r="E41" s="48">
        <f>VLOOKUP(C41,Active!C$21:E$973,3,FALSE)</f>
        <v>-623.95302283643548</v>
      </c>
      <c r="F41" s="17" t="s">
        <v>57</v>
      </c>
      <c r="G41" s="14" t="str">
        <f t="shared" si="4"/>
        <v>33887.480</v>
      </c>
      <c r="H41" s="8">
        <f t="shared" si="5"/>
        <v>-624</v>
      </c>
      <c r="I41" s="49" t="s">
        <v>156</v>
      </c>
      <c r="J41" s="50" t="s">
        <v>157</v>
      </c>
      <c r="K41" s="49">
        <v>-624</v>
      </c>
      <c r="L41" s="49" t="s">
        <v>158</v>
      </c>
      <c r="M41" s="50" t="s">
        <v>63</v>
      </c>
      <c r="N41" s="50"/>
      <c r="O41" s="51" t="s">
        <v>133</v>
      </c>
      <c r="P41" s="51" t="s">
        <v>65</v>
      </c>
    </row>
    <row r="42" spans="1:16" ht="12.75" customHeight="1" thickBot="1" x14ac:dyDescent="0.25">
      <c r="A42" s="8" t="str">
        <f t="shared" si="0"/>
        <v> KVB 31 </v>
      </c>
      <c r="B42" s="17" t="str">
        <f t="shared" si="1"/>
        <v>I</v>
      </c>
      <c r="C42" s="8">
        <f t="shared" si="2"/>
        <v>34215.476999999999</v>
      </c>
      <c r="D42" s="14" t="str">
        <f t="shared" si="3"/>
        <v>vis</v>
      </c>
      <c r="E42" s="48">
        <f>VLOOKUP(C42,Active!C$21:E$973,3,FALSE)</f>
        <v>-561.95250490054309</v>
      </c>
      <c r="F42" s="17" t="s">
        <v>57</v>
      </c>
      <c r="G42" s="14" t="str">
        <f t="shared" si="4"/>
        <v>34215.477</v>
      </c>
      <c r="H42" s="8">
        <f t="shared" si="5"/>
        <v>-562</v>
      </c>
      <c r="I42" s="49" t="s">
        <v>159</v>
      </c>
      <c r="J42" s="50" t="s">
        <v>160</v>
      </c>
      <c r="K42" s="49">
        <v>-562</v>
      </c>
      <c r="L42" s="49" t="s">
        <v>161</v>
      </c>
      <c r="M42" s="50" t="s">
        <v>63</v>
      </c>
      <c r="N42" s="50"/>
      <c r="O42" s="51" t="s">
        <v>133</v>
      </c>
      <c r="P42" s="51" t="s">
        <v>65</v>
      </c>
    </row>
    <row r="43" spans="1:16" ht="12.75" customHeight="1" thickBot="1" x14ac:dyDescent="0.25">
      <c r="A43" s="8" t="str">
        <f t="shared" ref="A43:A59" si="6">P43</f>
        <v> KVB 31 </v>
      </c>
      <c r="B43" s="17" t="str">
        <f t="shared" ref="B43:B59" si="7">IF(H43=INT(H43),"I","II")</f>
        <v>I</v>
      </c>
      <c r="C43" s="8">
        <f t="shared" ref="C43:C59" si="8">1*G43</f>
        <v>34252.474999999999</v>
      </c>
      <c r="D43" s="14" t="str">
        <f t="shared" ref="D43:D59" si="9">VLOOKUP(F43,I$1:J$5,2,FALSE)</f>
        <v>vis</v>
      </c>
      <c r="E43" s="48">
        <f>VLOOKUP(C43,Active!C$21:E$973,3,FALSE)</f>
        <v>-554.9588581214806</v>
      </c>
      <c r="F43" s="17" t="s">
        <v>57</v>
      </c>
      <c r="G43" s="14" t="str">
        <f t="shared" ref="G43:G59" si="10">MID(I43,3,LEN(I43)-3)</f>
        <v>34252.475</v>
      </c>
      <c r="H43" s="8">
        <f t="shared" ref="H43:H59" si="11">1*K43</f>
        <v>-555</v>
      </c>
      <c r="I43" s="49" t="s">
        <v>162</v>
      </c>
      <c r="J43" s="50" t="s">
        <v>163</v>
      </c>
      <c r="K43" s="49">
        <v>-555</v>
      </c>
      <c r="L43" s="49" t="s">
        <v>164</v>
      </c>
      <c r="M43" s="50" t="s">
        <v>63</v>
      </c>
      <c r="N43" s="50"/>
      <c r="O43" s="51" t="s">
        <v>133</v>
      </c>
      <c r="P43" s="51" t="s">
        <v>65</v>
      </c>
    </row>
    <row r="44" spans="1:16" ht="12.75" customHeight="1" thickBot="1" x14ac:dyDescent="0.25">
      <c r="A44" s="8" t="str">
        <f t="shared" si="6"/>
        <v> KVB 31 </v>
      </c>
      <c r="B44" s="17" t="str">
        <f t="shared" si="7"/>
        <v>I</v>
      </c>
      <c r="C44" s="8">
        <f t="shared" si="8"/>
        <v>35246.936000000002</v>
      </c>
      <c r="D44" s="14" t="str">
        <f t="shared" si="9"/>
        <v>vis</v>
      </c>
      <c r="E44" s="48">
        <f>VLOOKUP(C44,Active!C$21:E$973,3,FALSE)</f>
        <v>-366.97818431334696</v>
      </c>
      <c r="F44" s="17" t="s">
        <v>57</v>
      </c>
      <c r="G44" s="14" t="str">
        <f t="shared" si="10"/>
        <v>35246.936</v>
      </c>
      <c r="H44" s="8">
        <f t="shared" si="11"/>
        <v>-367</v>
      </c>
      <c r="I44" s="49" t="s">
        <v>165</v>
      </c>
      <c r="J44" s="50" t="s">
        <v>166</v>
      </c>
      <c r="K44" s="49">
        <v>-367</v>
      </c>
      <c r="L44" s="49" t="s">
        <v>167</v>
      </c>
      <c r="M44" s="50" t="s">
        <v>59</v>
      </c>
      <c r="N44" s="50"/>
      <c r="O44" s="51" t="s">
        <v>168</v>
      </c>
      <c r="P44" s="51" t="s">
        <v>65</v>
      </c>
    </row>
    <row r="45" spans="1:16" ht="12.75" customHeight="1" thickBot="1" x14ac:dyDescent="0.25">
      <c r="A45" s="8" t="str">
        <f t="shared" si="6"/>
        <v> AJ 64.258 </v>
      </c>
      <c r="B45" s="17" t="str">
        <f t="shared" si="7"/>
        <v>I</v>
      </c>
      <c r="C45" s="8">
        <f t="shared" si="8"/>
        <v>35389.792999999998</v>
      </c>
      <c r="D45" s="14" t="str">
        <f t="shared" si="9"/>
        <v>vis</v>
      </c>
      <c r="E45" s="48">
        <f>VLOOKUP(C45,Active!C$21:E$973,3,FALSE)</f>
        <v>-339.97425442750148</v>
      </c>
      <c r="F45" s="17" t="s">
        <v>57</v>
      </c>
      <c r="G45" s="14" t="str">
        <f t="shared" si="10"/>
        <v>35389.793</v>
      </c>
      <c r="H45" s="8">
        <f t="shared" si="11"/>
        <v>-340</v>
      </c>
      <c r="I45" s="49" t="s">
        <v>169</v>
      </c>
      <c r="J45" s="50" t="s">
        <v>170</v>
      </c>
      <c r="K45" s="49">
        <v>-340</v>
      </c>
      <c r="L45" s="49" t="s">
        <v>171</v>
      </c>
      <c r="M45" s="50" t="s">
        <v>59</v>
      </c>
      <c r="N45" s="50"/>
      <c r="O45" s="51" t="s">
        <v>151</v>
      </c>
      <c r="P45" s="51" t="s">
        <v>152</v>
      </c>
    </row>
    <row r="46" spans="1:16" ht="12.75" customHeight="1" thickBot="1" x14ac:dyDescent="0.25">
      <c r="A46" s="8" t="str">
        <f t="shared" si="6"/>
        <v> AJ 64.258 </v>
      </c>
      <c r="B46" s="17" t="str">
        <f t="shared" si="7"/>
        <v>I</v>
      </c>
      <c r="C46" s="8">
        <f t="shared" si="8"/>
        <v>35712.476999999999</v>
      </c>
      <c r="D46" s="14" t="str">
        <f t="shared" si="9"/>
        <v>vis</v>
      </c>
      <c r="E46" s="48">
        <f>VLOOKUP(C46,Active!C$21:E$973,3,FALSE)</f>
        <v>-278.97804065229678</v>
      </c>
      <c r="F46" s="17" t="s">
        <v>57</v>
      </c>
      <c r="G46" s="14" t="str">
        <f t="shared" si="10"/>
        <v>35712.477</v>
      </c>
      <c r="H46" s="8">
        <f t="shared" si="11"/>
        <v>-279</v>
      </c>
      <c r="I46" s="49" t="s">
        <v>172</v>
      </c>
      <c r="J46" s="50" t="s">
        <v>173</v>
      </c>
      <c r="K46" s="49">
        <v>-279</v>
      </c>
      <c r="L46" s="49" t="s">
        <v>174</v>
      </c>
      <c r="M46" s="50" t="s">
        <v>59</v>
      </c>
      <c r="N46" s="50"/>
      <c r="O46" s="51" t="s">
        <v>151</v>
      </c>
      <c r="P46" s="51" t="s">
        <v>152</v>
      </c>
    </row>
    <row r="47" spans="1:16" ht="12.75" customHeight="1" thickBot="1" x14ac:dyDescent="0.25">
      <c r="A47" s="8" t="str">
        <f t="shared" si="6"/>
        <v> KVB 31 </v>
      </c>
      <c r="B47" s="17" t="str">
        <f t="shared" si="7"/>
        <v>I</v>
      </c>
      <c r="C47" s="8">
        <f t="shared" si="8"/>
        <v>36807.447</v>
      </c>
      <c r="D47" s="14" t="str">
        <f t="shared" si="9"/>
        <v>vis</v>
      </c>
      <c r="E47" s="48">
        <f>VLOOKUP(C47,Active!C$21:E$973,3,FALSE)</f>
        <v>-71.998381922902979</v>
      </c>
      <c r="F47" s="17" t="s">
        <v>57</v>
      </c>
      <c r="G47" s="14" t="str">
        <f t="shared" si="10"/>
        <v>36807.447</v>
      </c>
      <c r="H47" s="8">
        <f t="shared" si="11"/>
        <v>-72</v>
      </c>
      <c r="I47" s="49" t="s">
        <v>175</v>
      </c>
      <c r="J47" s="50" t="s">
        <v>176</v>
      </c>
      <c r="K47" s="49">
        <v>-72</v>
      </c>
      <c r="L47" s="49" t="s">
        <v>177</v>
      </c>
      <c r="M47" s="50" t="s">
        <v>63</v>
      </c>
      <c r="N47" s="50"/>
      <c r="O47" s="51" t="s">
        <v>133</v>
      </c>
      <c r="P47" s="51" t="s">
        <v>65</v>
      </c>
    </row>
    <row r="48" spans="1:16" ht="12.75" customHeight="1" thickBot="1" x14ac:dyDescent="0.25">
      <c r="A48" s="8" t="str">
        <f t="shared" si="6"/>
        <v> KVB 31 </v>
      </c>
      <c r="B48" s="17" t="str">
        <f t="shared" si="7"/>
        <v>I</v>
      </c>
      <c r="C48" s="8">
        <f t="shared" si="8"/>
        <v>37172.442000000003</v>
      </c>
      <c r="D48" s="14" t="str">
        <f t="shared" si="9"/>
        <v>vis</v>
      </c>
      <c r="E48" s="48">
        <f>VLOOKUP(C48,Active!C$21:E$973,3,FALSE)</f>
        <v>-3.0042172079467981</v>
      </c>
      <c r="F48" s="17" t="s">
        <v>57</v>
      </c>
      <c r="G48" s="14" t="str">
        <f t="shared" si="10"/>
        <v>37172.442</v>
      </c>
      <c r="H48" s="8">
        <f t="shared" si="11"/>
        <v>-3</v>
      </c>
      <c r="I48" s="49" t="s">
        <v>178</v>
      </c>
      <c r="J48" s="50" t="s">
        <v>179</v>
      </c>
      <c r="K48" s="49">
        <v>-3</v>
      </c>
      <c r="L48" s="49" t="s">
        <v>180</v>
      </c>
      <c r="M48" s="50" t="s">
        <v>63</v>
      </c>
      <c r="N48" s="50"/>
      <c r="O48" s="51" t="s">
        <v>133</v>
      </c>
      <c r="P48" s="51" t="s">
        <v>65</v>
      </c>
    </row>
    <row r="49" spans="1:16" ht="12.75" customHeight="1" thickBot="1" x14ac:dyDescent="0.25">
      <c r="A49" s="8" t="str">
        <f t="shared" si="6"/>
        <v> MSAI 43.323 </v>
      </c>
      <c r="B49" s="17" t="str">
        <f t="shared" si="7"/>
        <v>I</v>
      </c>
      <c r="C49" s="8">
        <f t="shared" si="8"/>
        <v>37257.144999999997</v>
      </c>
      <c r="D49" s="14" t="str">
        <f t="shared" si="9"/>
        <v>vis</v>
      </c>
      <c r="E49" s="48">
        <f>VLOOKUP(C49,Active!C$21:E$973,3,FALSE)</f>
        <v>13.006995915111</v>
      </c>
      <c r="F49" s="17" t="s">
        <v>57</v>
      </c>
      <c r="G49" s="14" t="str">
        <f t="shared" si="10"/>
        <v>37257.145</v>
      </c>
      <c r="H49" s="8">
        <f t="shared" si="11"/>
        <v>13</v>
      </c>
      <c r="I49" s="49" t="s">
        <v>186</v>
      </c>
      <c r="J49" s="50" t="s">
        <v>187</v>
      </c>
      <c r="K49" s="49">
        <v>13</v>
      </c>
      <c r="L49" s="49" t="s">
        <v>188</v>
      </c>
      <c r="M49" s="50" t="s">
        <v>63</v>
      </c>
      <c r="N49" s="50"/>
      <c r="O49" s="51" t="s">
        <v>184</v>
      </c>
      <c r="P49" s="51" t="s">
        <v>185</v>
      </c>
    </row>
    <row r="50" spans="1:16" ht="12.75" customHeight="1" thickBot="1" x14ac:dyDescent="0.25">
      <c r="A50" s="8" t="str">
        <f t="shared" si="6"/>
        <v> MSAI 43.323 </v>
      </c>
      <c r="B50" s="17" t="str">
        <f t="shared" si="7"/>
        <v>I</v>
      </c>
      <c r="C50" s="8">
        <f t="shared" si="8"/>
        <v>37516.300000000003</v>
      </c>
      <c r="D50" s="14" t="str">
        <f t="shared" si="9"/>
        <v>vis</v>
      </c>
      <c r="E50" s="48">
        <f>VLOOKUP(C50,Active!C$21:E$973,3,FALSE)</f>
        <v>61.994469049550545</v>
      </c>
      <c r="F50" s="17" t="s">
        <v>57</v>
      </c>
      <c r="G50" s="14" t="str">
        <f t="shared" si="10"/>
        <v>37516.300</v>
      </c>
      <c r="H50" s="8">
        <f t="shared" si="11"/>
        <v>62</v>
      </c>
      <c r="I50" s="49" t="s">
        <v>189</v>
      </c>
      <c r="J50" s="50" t="s">
        <v>190</v>
      </c>
      <c r="K50" s="49">
        <v>62</v>
      </c>
      <c r="L50" s="49" t="s">
        <v>191</v>
      </c>
      <c r="M50" s="50" t="s">
        <v>63</v>
      </c>
      <c r="N50" s="50"/>
      <c r="O50" s="51" t="s">
        <v>184</v>
      </c>
      <c r="P50" s="51" t="s">
        <v>185</v>
      </c>
    </row>
    <row r="51" spans="1:16" ht="12.75" customHeight="1" thickBot="1" x14ac:dyDescent="0.25">
      <c r="A51" s="8" t="str">
        <f t="shared" si="6"/>
        <v> MSAI 43.323 </v>
      </c>
      <c r="B51" s="17" t="str">
        <f t="shared" si="7"/>
        <v>I</v>
      </c>
      <c r="C51" s="8">
        <f t="shared" si="8"/>
        <v>37553.368999999999</v>
      </c>
      <c r="D51" s="14" t="str">
        <f t="shared" si="9"/>
        <v>vis</v>
      </c>
      <c r="E51" s="48">
        <f>VLOOKUP(C51,Active!C$21:E$973,3,FALSE)</f>
        <v>69.001536795186524</v>
      </c>
      <c r="F51" s="17" t="s">
        <v>57</v>
      </c>
      <c r="G51" s="14" t="str">
        <f t="shared" si="10"/>
        <v>37553.369</v>
      </c>
      <c r="H51" s="8">
        <f t="shared" si="11"/>
        <v>69</v>
      </c>
      <c r="I51" s="49" t="s">
        <v>192</v>
      </c>
      <c r="J51" s="50" t="s">
        <v>193</v>
      </c>
      <c r="K51" s="49">
        <v>69</v>
      </c>
      <c r="L51" s="49" t="s">
        <v>194</v>
      </c>
      <c r="M51" s="50" t="s">
        <v>63</v>
      </c>
      <c r="N51" s="50"/>
      <c r="O51" s="51" t="s">
        <v>184</v>
      </c>
      <c r="P51" s="51" t="s">
        <v>185</v>
      </c>
    </row>
    <row r="52" spans="1:16" ht="12.75" customHeight="1" thickBot="1" x14ac:dyDescent="0.25">
      <c r="A52" s="8" t="str">
        <f t="shared" si="6"/>
        <v> MSAI 43.323 </v>
      </c>
      <c r="B52" s="17" t="str">
        <f t="shared" si="7"/>
        <v>I</v>
      </c>
      <c r="C52" s="8">
        <f t="shared" si="8"/>
        <v>37659.18</v>
      </c>
      <c r="D52" s="14" t="str">
        <f t="shared" si="9"/>
        <v>vis</v>
      </c>
      <c r="E52" s="48">
        <f>VLOOKUP(C52,Active!C$21:E$973,3,FALSE)</f>
        <v>89.002746572455479</v>
      </c>
      <c r="F52" s="17" t="s">
        <v>57</v>
      </c>
      <c r="G52" s="14" t="str">
        <f t="shared" si="10"/>
        <v>37659.180</v>
      </c>
      <c r="H52" s="8">
        <f t="shared" si="11"/>
        <v>89</v>
      </c>
      <c r="I52" s="49" t="s">
        <v>195</v>
      </c>
      <c r="J52" s="50" t="s">
        <v>196</v>
      </c>
      <c r="K52" s="49">
        <v>89</v>
      </c>
      <c r="L52" s="49" t="s">
        <v>197</v>
      </c>
      <c r="M52" s="50" t="s">
        <v>63</v>
      </c>
      <c r="N52" s="50"/>
      <c r="O52" s="51" t="s">
        <v>184</v>
      </c>
      <c r="P52" s="51" t="s">
        <v>185</v>
      </c>
    </row>
    <row r="53" spans="1:16" ht="12.75" customHeight="1" thickBot="1" x14ac:dyDescent="0.25">
      <c r="A53" s="8" t="str">
        <f t="shared" si="6"/>
        <v> MSAI 43.323 </v>
      </c>
      <c r="B53" s="17" t="str">
        <f t="shared" si="7"/>
        <v>I</v>
      </c>
      <c r="C53" s="8">
        <f t="shared" si="8"/>
        <v>40505.305999999997</v>
      </c>
      <c r="D53" s="14" t="str">
        <f t="shared" si="9"/>
        <v>vis</v>
      </c>
      <c r="E53" s="48">
        <f>VLOOKUP(C53,Active!C$21:E$973,3,FALSE)</f>
        <v>626.99939322108821</v>
      </c>
      <c r="F53" s="17" t="s">
        <v>57</v>
      </c>
      <c r="G53" s="14" t="str">
        <f t="shared" si="10"/>
        <v>40505.306</v>
      </c>
      <c r="H53" s="8">
        <f t="shared" si="11"/>
        <v>627</v>
      </c>
      <c r="I53" s="49" t="s">
        <v>198</v>
      </c>
      <c r="J53" s="50" t="s">
        <v>199</v>
      </c>
      <c r="K53" s="49">
        <v>627</v>
      </c>
      <c r="L53" s="49" t="s">
        <v>58</v>
      </c>
      <c r="M53" s="50" t="s">
        <v>63</v>
      </c>
      <c r="N53" s="50"/>
      <c r="O53" s="51" t="s">
        <v>184</v>
      </c>
      <c r="P53" s="51" t="s">
        <v>185</v>
      </c>
    </row>
    <row r="54" spans="1:16" ht="12.75" customHeight="1" thickBot="1" x14ac:dyDescent="0.25">
      <c r="A54" s="8" t="str">
        <f t="shared" si="6"/>
        <v> MSAI 43.323 </v>
      </c>
      <c r="B54" s="17" t="str">
        <f t="shared" si="7"/>
        <v>I</v>
      </c>
      <c r="C54" s="8">
        <f t="shared" si="8"/>
        <v>40854.430999999997</v>
      </c>
      <c r="D54" s="14" t="str">
        <f t="shared" si="9"/>
        <v>vis</v>
      </c>
      <c r="E54" s="48">
        <f>VLOOKUP(C54,Active!C$21:E$973,3,FALSE)</f>
        <v>692.99368836515566</v>
      </c>
      <c r="F54" s="17" t="s">
        <v>57</v>
      </c>
      <c r="G54" s="14" t="str">
        <f t="shared" si="10"/>
        <v>40854.431</v>
      </c>
      <c r="H54" s="8">
        <f t="shared" si="11"/>
        <v>693</v>
      </c>
      <c r="I54" s="49" t="s">
        <v>200</v>
      </c>
      <c r="J54" s="50" t="s">
        <v>201</v>
      </c>
      <c r="K54" s="49">
        <v>693</v>
      </c>
      <c r="L54" s="49" t="s">
        <v>202</v>
      </c>
      <c r="M54" s="50" t="s">
        <v>63</v>
      </c>
      <c r="N54" s="50"/>
      <c r="O54" s="51" t="s">
        <v>184</v>
      </c>
      <c r="P54" s="51" t="s">
        <v>185</v>
      </c>
    </row>
    <row r="55" spans="1:16" ht="12.75" customHeight="1" thickBot="1" x14ac:dyDescent="0.25">
      <c r="A55" s="8" t="str">
        <f t="shared" si="6"/>
        <v>BAVM 171 </v>
      </c>
      <c r="B55" s="17" t="str">
        <f t="shared" si="7"/>
        <v>I</v>
      </c>
      <c r="C55" s="8">
        <f t="shared" si="8"/>
        <v>52831.199999999997</v>
      </c>
      <c r="D55" s="14" t="str">
        <f t="shared" si="9"/>
        <v>vis</v>
      </c>
      <c r="E55" s="48">
        <f>VLOOKUP(C55,Active!C$21:E$973,3,FALSE)</f>
        <v>2956.9347646510637</v>
      </c>
      <c r="F55" s="17" t="s">
        <v>57</v>
      </c>
      <c r="G55" s="14" t="str">
        <f t="shared" si="10"/>
        <v>52831.20</v>
      </c>
      <c r="H55" s="8">
        <f t="shared" si="11"/>
        <v>2957</v>
      </c>
      <c r="I55" s="49" t="s">
        <v>203</v>
      </c>
      <c r="J55" s="50" t="s">
        <v>204</v>
      </c>
      <c r="K55" s="49">
        <v>2957</v>
      </c>
      <c r="L55" s="49" t="s">
        <v>205</v>
      </c>
      <c r="M55" s="50" t="s">
        <v>118</v>
      </c>
      <c r="N55" s="50"/>
      <c r="O55" s="51" t="s">
        <v>206</v>
      </c>
      <c r="P55" s="52" t="s">
        <v>207</v>
      </c>
    </row>
    <row r="56" spans="1:16" ht="12.75" customHeight="1" thickBot="1" x14ac:dyDescent="0.25">
      <c r="A56" s="8" t="str">
        <f t="shared" si="6"/>
        <v>BAVM 179 </v>
      </c>
      <c r="B56" s="17" t="str">
        <f t="shared" si="7"/>
        <v>I</v>
      </c>
      <c r="C56" s="8">
        <f t="shared" si="8"/>
        <v>53619.445</v>
      </c>
      <c r="D56" s="14" t="str">
        <f t="shared" si="9"/>
        <v>vis</v>
      </c>
      <c r="E56" s="48">
        <f>VLOOKUP(C56,Active!C$21:E$973,3,FALSE)</f>
        <v>3105.9349026412842</v>
      </c>
      <c r="F56" s="17" t="s">
        <v>57</v>
      </c>
      <c r="G56" s="14" t="str">
        <f t="shared" si="10"/>
        <v>53619.445</v>
      </c>
      <c r="H56" s="8">
        <f t="shared" si="11"/>
        <v>3106</v>
      </c>
      <c r="I56" s="49" t="s">
        <v>212</v>
      </c>
      <c r="J56" s="50" t="s">
        <v>213</v>
      </c>
      <c r="K56" s="49">
        <v>3106</v>
      </c>
      <c r="L56" s="49" t="s">
        <v>214</v>
      </c>
      <c r="M56" s="50" t="s">
        <v>118</v>
      </c>
      <c r="N56" s="50"/>
      <c r="O56" s="51" t="s">
        <v>215</v>
      </c>
      <c r="P56" s="52" t="s">
        <v>216</v>
      </c>
    </row>
    <row r="57" spans="1:16" ht="12.75" customHeight="1" thickBot="1" x14ac:dyDescent="0.25">
      <c r="A57" s="8" t="str">
        <f t="shared" si="6"/>
        <v>BAVM 212 </v>
      </c>
      <c r="B57" s="17" t="str">
        <f t="shared" si="7"/>
        <v>I</v>
      </c>
      <c r="C57" s="8">
        <f t="shared" si="8"/>
        <v>55042.5219</v>
      </c>
      <c r="D57" s="14" t="str">
        <f t="shared" si="9"/>
        <v>vis</v>
      </c>
      <c r="E57" s="48">
        <f>VLOOKUP(C57,Active!C$21:E$973,3,FALSE)</f>
        <v>3374.9358534506059</v>
      </c>
      <c r="F57" s="17" t="s">
        <v>57</v>
      </c>
      <c r="G57" s="14" t="str">
        <f t="shared" si="10"/>
        <v>55042.5219</v>
      </c>
      <c r="H57" s="8">
        <f t="shared" si="11"/>
        <v>3375</v>
      </c>
      <c r="I57" s="49" t="s">
        <v>217</v>
      </c>
      <c r="J57" s="50" t="s">
        <v>218</v>
      </c>
      <c r="K57" s="49">
        <v>3375</v>
      </c>
      <c r="L57" s="49" t="s">
        <v>219</v>
      </c>
      <c r="M57" s="50" t="s">
        <v>220</v>
      </c>
      <c r="N57" s="50" t="s">
        <v>221</v>
      </c>
      <c r="O57" s="51" t="s">
        <v>222</v>
      </c>
      <c r="P57" s="52" t="s">
        <v>223</v>
      </c>
    </row>
    <row r="58" spans="1:16" ht="12.75" customHeight="1" thickBot="1" x14ac:dyDescent="0.25">
      <c r="A58" s="8" t="str">
        <f t="shared" si="6"/>
        <v>BAVM 212 </v>
      </c>
      <c r="B58" s="17" t="str">
        <f t="shared" si="7"/>
        <v>I</v>
      </c>
      <c r="C58" s="8">
        <f t="shared" si="8"/>
        <v>55095.423799999997</v>
      </c>
      <c r="D58" s="14" t="str">
        <f t="shared" si="9"/>
        <v>vis</v>
      </c>
      <c r="E58" s="48">
        <f>VLOOKUP(C58,Active!C$21:E$973,3,FALSE)</f>
        <v>3384.9357778395261</v>
      </c>
      <c r="F58" s="17" t="s">
        <v>57</v>
      </c>
      <c r="G58" s="14" t="str">
        <f t="shared" si="10"/>
        <v>55095.4238</v>
      </c>
      <c r="H58" s="8">
        <f t="shared" si="11"/>
        <v>3385</v>
      </c>
      <c r="I58" s="49" t="s">
        <v>224</v>
      </c>
      <c r="J58" s="50" t="s">
        <v>225</v>
      </c>
      <c r="K58" s="49" t="s">
        <v>226</v>
      </c>
      <c r="L58" s="49" t="s">
        <v>227</v>
      </c>
      <c r="M58" s="50" t="s">
        <v>220</v>
      </c>
      <c r="N58" s="50" t="s">
        <v>221</v>
      </c>
      <c r="O58" s="51" t="s">
        <v>222</v>
      </c>
      <c r="P58" s="52" t="s">
        <v>223</v>
      </c>
    </row>
    <row r="59" spans="1:16" ht="12.75" customHeight="1" thickBot="1" x14ac:dyDescent="0.25">
      <c r="A59" s="8" t="str">
        <f t="shared" si="6"/>
        <v>OEJV 0137 </v>
      </c>
      <c r="B59" s="17" t="str">
        <f t="shared" si="7"/>
        <v>I</v>
      </c>
      <c r="C59" s="8">
        <f t="shared" si="8"/>
        <v>55095.4251</v>
      </c>
      <c r="D59" s="14" t="str">
        <f t="shared" si="9"/>
        <v>vis</v>
      </c>
      <c r="E59" s="48">
        <f>VLOOKUP(C59,Active!C$21:E$973,3,FALSE)</f>
        <v>3384.9360235755348</v>
      </c>
      <c r="F59" s="17" t="s">
        <v>57</v>
      </c>
      <c r="G59" s="14" t="str">
        <f t="shared" si="10"/>
        <v>55095.4251</v>
      </c>
      <c r="H59" s="8">
        <f t="shared" si="11"/>
        <v>3385</v>
      </c>
      <c r="I59" s="49" t="s">
        <v>228</v>
      </c>
      <c r="J59" s="50" t="s">
        <v>229</v>
      </c>
      <c r="K59" s="49" t="s">
        <v>226</v>
      </c>
      <c r="L59" s="49" t="s">
        <v>230</v>
      </c>
      <c r="M59" s="50" t="s">
        <v>220</v>
      </c>
      <c r="N59" s="50" t="s">
        <v>231</v>
      </c>
      <c r="O59" s="51" t="s">
        <v>232</v>
      </c>
      <c r="P59" s="52" t="s">
        <v>233</v>
      </c>
    </row>
    <row r="60" spans="1:16" x14ac:dyDescent="0.2">
      <c r="B60" s="17"/>
      <c r="E60" s="48"/>
      <c r="F60" s="17"/>
    </row>
    <row r="61" spans="1:16" x14ac:dyDescent="0.2">
      <c r="B61" s="17"/>
      <c r="E61" s="48"/>
      <c r="F61" s="17"/>
    </row>
    <row r="62" spans="1:16" x14ac:dyDescent="0.2">
      <c r="B62" s="17"/>
      <c r="E62" s="48"/>
      <c r="F62" s="17"/>
    </row>
    <row r="63" spans="1:16" x14ac:dyDescent="0.2">
      <c r="B63" s="17"/>
      <c r="E63" s="48"/>
      <c r="F63" s="17"/>
    </row>
    <row r="64" spans="1:16" x14ac:dyDescent="0.2">
      <c r="B64" s="17"/>
      <c r="E64" s="48"/>
      <c r="F64" s="17"/>
    </row>
    <row r="65" spans="2:6" x14ac:dyDescent="0.2">
      <c r="B65" s="17"/>
      <c r="E65" s="48"/>
      <c r="F65" s="17"/>
    </row>
    <row r="66" spans="2:6" x14ac:dyDescent="0.2">
      <c r="B66" s="17"/>
      <c r="E66" s="48"/>
      <c r="F66" s="17"/>
    </row>
    <row r="67" spans="2:6" x14ac:dyDescent="0.2">
      <c r="B67" s="17"/>
      <c r="E67" s="48"/>
      <c r="F67" s="17"/>
    </row>
    <row r="68" spans="2:6" x14ac:dyDescent="0.2">
      <c r="B68" s="17"/>
      <c r="E68" s="48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</sheetData>
  <phoneticPr fontId="7" type="noConversion"/>
  <hyperlinks>
    <hyperlink ref="P55" r:id="rId1" display="http://www.bav-astro.de/sfs/BAVM_link.php?BAVMnr=171"/>
    <hyperlink ref="P13" r:id="rId2" display="http://www.bav-astro.de/sfs/BAVM_link.php?BAVMnr=174"/>
    <hyperlink ref="P56" r:id="rId3" display="http://www.bav-astro.de/sfs/BAVM_link.php?BAVMnr=179"/>
    <hyperlink ref="P57" r:id="rId4" display="http://www.bav-astro.de/sfs/BAVM_link.php?BAVMnr=212"/>
    <hyperlink ref="P58" r:id="rId5" display="http://www.bav-astro.de/sfs/BAVM_link.php?BAVMnr=212"/>
    <hyperlink ref="P59" r:id="rId6" display="http://var.astro.cz/oejv/issues/oejv0137.pdf"/>
    <hyperlink ref="P12" r:id="rId7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2023-01-17T01:48:58Z</dcterms:modified>
</cp:coreProperties>
</file>