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618B416-CA14-4988-A5E6-44BB4A065CCF}" xr6:coauthVersionLast="47" xr6:coauthVersionMax="47" xr10:uidLastSave="{00000000-0000-0000-0000-000000000000}"/>
  <bookViews>
    <workbookView xWindow="13620" yWindow="58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4" i="1" l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/>
  <c r="G57" i="1" s="1"/>
  <c r="K57" i="1" s="1"/>
  <c r="Q57" i="1"/>
  <c r="Q53" i="1"/>
  <c r="Q49" i="1"/>
  <c r="Q50" i="1"/>
  <c r="Q51" i="1"/>
  <c r="Q52" i="1"/>
  <c r="Q48" i="1"/>
  <c r="Q34" i="1"/>
  <c r="Q35" i="1"/>
  <c r="Q37" i="1"/>
  <c r="Q41" i="1"/>
  <c r="Q45" i="1"/>
  <c r="G29" i="2"/>
  <c r="C29" i="2"/>
  <c r="G28" i="2"/>
  <c r="C28" i="2"/>
  <c r="G34" i="2"/>
  <c r="C34" i="2"/>
  <c r="G27" i="2"/>
  <c r="C27" i="2"/>
  <c r="G26" i="2"/>
  <c r="C26" i="2"/>
  <c r="G33" i="2"/>
  <c r="C33" i="2"/>
  <c r="G25" i="2"/>
  <c r="C25" i="2"/>
  <c r="G24" i="2"/>
  <c r="C24" i="2"/>
  <c r="G23" i="2"/>
  <c r="C23" i="2"/>
  <c r="G32" i="2"/>
  <c r="C32" i="2"/>
  <c r="G22" i="2"/>
  <c r="C22" i="2"/>
  <c r="G31" i="2"/>
  <c r="C31" i="2"/>
  <c r="G30" i="2"/>
  <c r="C30" i="2"/>
  <c r="G21" i="2"/>
  <c r="C21" i="2"/>
  <c r="G20" i="2"/>
  <c r="C20" i="2"/>
  <c r="E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E12" i="2"/>
  <c r="G11" i="2"/>
  <c r="C11" i="2"/>
  <c r="E11" i="2"/>
  <c r="H29" i="2"/>
  <c r="B29" i="2"/>
  <c r="D29" i="2"/>
  <c r="A29" i="2"/>
  <c r="H28" i="2"/>
  <c r="B28" i="2"/>
  <c r="D28" i="2"/>
  <c r="A28" i="2"/>
  <c r="H34" i="2"/>
  <c r="B34" i="2"/>
  <c r="D34" i="2"/>
  <c r="A34" i="2"/>
  <c r="H27" i="2"/>
  <c r="B27" i="2"/>
  <c r="D27" i="2"/>
  <c r="A27" i="2"/>
  <c r="H26" i="2"/>
  <c r="B26" i="2"/>
  <c r="D26" i="2"/>
  <c r="A26" i="2"/>
  <c r="H33" i="2"/>
  <c r="B33" i="2"/>
  <c r="D33" i="2"/>
  <c r="A33" i="2"/>
  <c r="H25" i="2"/>
  <c r="B25" i="2"/>
  <c r="D25" i="2"/>
  <c r="A25" i="2"/>
  <c r="H24" i="2"/>
  <c r="B24" i="2"/>
  <c r="D24" i="2"/>
  <c r="A24" i="2"/>
  <c r="H23" i="2"/>
  <c r="B23" i="2"/>
  <c r="D23" i="2"/>
  <c r="A23" i="2"/>
  <c r="H32" i="2"/>
  <c r="B32" i="2"/>
  <c r="D32" i="2"/>
  <c r="A32" i="2"/>
  <c r="H22" i="2"/>
  <c r="B22" i="2"/>
  <c r="D22" i="2"/>
  <c r="A22" i="2"/>
  <c r="H31" i="2"/>
  <c r="B31" i="2"/>
  <c r="D31" i="2"/>
  <c r="A31" i="2"/>
  <c r="H30" i="2"/>
  <c r="B30" i="2"/>
  <c r="D30" i="2"/>
  <c r="A30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C9" i="1"/>
  <c r="Q38" i="1"/>
  <c r="Q43" i="1"/>
  <c r="Q46" i="1"/>
  <c r="Q47" i="1"/>
  <c r="Q44" i="1"/>
  <c r="Q42" i="1"/>
  <c r="D9" i="1"/>
  <c r="F16" i="1"/>
  <c r="F17" i="1" s="1"/>
  <c r="C17" i="1"/>
  <c r="Q40" i="1"/>
  <c r="Q26" i="1"/>
  <c r="Q39" i="1"/>
  <c r="Q33" i="1"/>
  <c r="Q36" i="1"/>
  <c r="C7" i="1"/>
  <c r="E53" i="1"/>
  <c r="F53" i="1"/>
  <c r="C8" i="1"/>
  <c r="E26" i="1"/>
  <c r="F26" i="1"/>
  <c r="Q27" i="1"/>
  <c r="Q29" i="1"/>
  <c r="Q30" i="1"/>
  <c r="Q31" i="1"/>
  <c r="Q32" i="1"/>
  <c r="Q25" i="1"/>
  <c r="Q22" i="1"/>
  <c r="Q23" i="1"/>
  <c r="Q24" i="1"/>
  <c r="Q28" i="1"/>
  <c r="Q21" i="1"/>
  <c r="E32" i="1"/>
  <c r="E23" i="1"/>
  <c r="F23" i="1"/>
  <c r="G23" i="1"/>
  <c r="J23" i="1"/>
  <c r="F32" i="1"/>
  <c r="E22" i="1"/>
  <c r="F22" i="1"/>
  <c r="G22" i="1"/>
  <c r="J22" i="1"/>
  <c r="E26" i="2"/>
  <c r="E33" i="2"/>
  <c r="E51" i="1"/>
  <c r="F51" i="1"/>
  <c r="G51" i="1"/>
  <c r="K51" i="1"/>
  <c r="G52" i="1"/>
  <c r="K52" i="1"/>
  <c r="G31" i="1"/>
  <c r="J31" i="1"/>
  <c r="E41" i="1"/>
  <c r="F41" i="1"/>
  <c r="G41" i="1"/>
  <c r="K41" i="1"/>
  <c r="E49" i="1"/>
  <c r="F49" i="1"/>
  <c r="E50" i="1"/>
  <c r="F50" i="1"/>
  <c r="G38" i="1"/>
  <c r="K38" i="1"/>
  <c r="E52" i="1"/>
  <c r="F52" i="1"/>
  <c r="E29" i="1"/>
  <c r="E47" i="1"/>
  <c r="F47" i="1"/>
  <c r="G47" i="1"/>
  <c r="J47" i="1"/>
  <c r="E35" i="1"/>
  <c r="E24" i="1"/>
  <c r="E44" i="1"/>
  <c r="F44" i="1"/>
  <c r="G44" i="1"/>
  <c r="J44" i="1"/>
  <c r="E31" i="1"/>
  <c r="F31" i="1"/>
  <c r="G32" i="1"/>
  <c r="J32" i="1"/>
  <c r="E39" i="1"/>
  <c r="F39" i="1"/>
  <c r="G39" i="1"/>
  <c r="J39" i="1"/>
  <c r="E33" i="1"/>
  <c r="F33" i="1"/>
  <c r="G33" i="1"/>
  <c r="J33" i="1"/>
  <c r="E30" i="1"/>
  <c r="F30" i="1"/>
  <c r="G30" i="1"/>
  <c r="J30" i="1"/>
  <c r="E21" i="1"/>
  <c r="F21" i="1"/>
  <c r="E38" i="1"/>
  <c r="F38" i="1"/>
  <c r="G50" i="1"/>
  <c r="K50" i="1"/>
  <c r="E42" i="1"/>
  <c r="F42" i="1"/>
  <c r="G42" i="1"/>
  <c r="K42" i="1"/>
  <c r="G53" i="1"/>
  <c r="K53" i="1"/>
  <c r="E28" i="1"/>
  <c r="G26" i="1"/>
  <c r="K26" i="1"/>
  <c r="G49" i="1"/>
  <c r="K49" i="1"/>
  <c r="E48" i="1"/>
  <c r="F48" i="1"/>
  <c r="G48" i="1"/>
  <c r="K48" i="1"/>
  <c r="E45" i="1"/>
  <c r="F45" i="1"/>
  <c r="G45" i="1"/>
  <c r="J45" i="1"/>
  <c r="E36" i="1"/>
  <c r="E46" i="1"/>
  <c r="F46" i="1"/>
  <c r="G46" i="1"/>
  <c r="K46" i="1"/>
  <c r="E40" i="1"/>
  <c r="E43" i="1"/>
  <c r="F43" i="1"/>
  <c r="G43" i="1"/>
  <c r="K43" i="1"/>
  <c r="E27" i="1"/>
  <c r="F27" i="1"/>
  <c r="G27" i="1"/>
  <c r="K27" i="1"/>
  <c r="E25" i="1"/>
  <c r="F25" i="1"/>
  <c r="G25" i="1"/>
  <c r="J25" i="1"/>
  <c r="E34" i="1"/>
  <c r="F34" i="1"/>
  <c r="G34" i="1"/>
  <c r="K34" i="1"/>
  <c r="E37" i="1"/>
  <c r="F37" i="1"/>
  <c r="G37" i="1"/>
  <c r="K37" i="1"/>
  <c r="E28" i="2"/>
  <c r="E19" i="2"/>
  <c r="E23" i="2"/>
  <c r="E32" i="2"/>
  <c r="F28" i="1"/>
  <c r="G28" i="1"/>
  <c r="K28" i="1"/>
  <c r="E16" i="2"/>
  <c r="F35" i="1"/>
  <c r="G35" i="1"/>
  <c r="K35" i="1"/>
  <c r="E31" i="2"/>
  <c r="E18" i="2"/>
  <c r="E29" i="2"/>
  <c r="E34" i="2"/>
  <c r="E24" i="2"/>
  <c r="E13" i="2"/>
  <c r="F24" i="1"/>
  <c r="G24" i="1"/>
  <c r="F40" i="1"/>
  <c r="G40" i="1"/>
  <c r="K40" i="1"/>
  <c r="E25" i="2"/>
  <c r="E17" i="2"/>
  <c r="F29" i="1"/>
  <c r="G29" i="1"/>
  <c r="J29" i="1"/>
  <c r="E27" i="2"/>
  <c r="E30" i="2"/>
  <c r="E14" i="2"/>
  <c r="F36" i="1"/>
  <c r="G36" i="1"/>
  <c r="J36" i="1"/>
  <c r="E22" i="2"/>
  <c r="E21" i="2"/>
  <c r="E15" i="2"/>
  <c r="J24" i="1"/>
  <c r="C11" i="1"/>
  <c r="C12" i="1"/>
  <c r="O56" i="1" l="1"/>
  <c r="O55" i="1"/>
  <c r="O54" i="1"/>
  <c r="O57" i="1"/>
  <c r="C16" i="1"/>
  <c r="D18" i="1" s="1"/>
  <c r="O47" i="1"/>
  <c r="O24" i="1"/>
  <c r="O49" i="1"/>
  <c r="O27" i="1"/>
  <c r="O30" i="1"/>
  <c r="O38" i="1"/>
  <c r="O50" i="1"/>
  <c r="O23" i="1"/>
  <c r="O25" i="1"/>
  <c r="O34" i="1"/>
  <c r="O33" i="1"/>
  <c r="O29" i="1"/>
  <c r="O48" i="1"/>
  <c r="O44" i="1"/>
  <c r="O35" i="1"/>
  <c r="O26" i="1"/>
  <c r="O45" i="1"/>
  <c r="O28" i="1"/>
  <c r="O21" i="1"/>
  <c r="O41" i="1"/>
  <c r="C15" i="1"/>
  <c r="O46" i="1"/>
  <c r="O53" i="1"/>
  <c r="O52" i="1"/>
  <c r="O43" i="1"/>
  <c r="O31" i="1"/>
  <c r="O36" i="1"/>
  <c r="O22" i="1"/>
  <c r="O42" i="1"/>
  <c r="O51" i="1"/>
  <c r="O37" i="1"/>
  <c r="O39" i="1"/>
  <c r="O40" i="1"/>
  <c r="O32" i="1"/>
  <c r="C18" i="1" l="1"/>
  <c r="F18" i="1"/>
  <c r="F19" i="1" s="1"/>
</calcChain>
</file>

<file path=xl/sharedStrings.xml><?xml version="1.0" encoding="utf-8"?>
<sst xmlns="http://schemas.openxmlformats.org/spreadsheetml/2006/main" count="319" uniqueCount="178">
  <si>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</si>
  <si>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</si>
  <si>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</si>
  <si>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</si>
  <si>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</si>
  <si>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</si>
  <si>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</si>
  <si>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</si>
  <si>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</si>
  <si>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</si>
  <si>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</si>
  <si>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</si>
  <si>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</si>
  <si>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</si>
  <si>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</si>
  <si>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</si>
  <si>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</si>
  <si>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</si>
  <si>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</si>
  <si>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</si>
  <si>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</si>
  <si>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</si>
  <si>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</si>
  <si>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</si>
  <si>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Hipparcos</t>
  </si>
  <si>
    <t>I</t>
  </si>
  <si>
    <t>IBVS 5258</t>
  </si>
  <si>
    <t>II</t>
  </si>
  <si>
    <t>IBVS 5623</t>
  </si>
  <si>
    <t>IBVS 5603</t>
  </si>
  <si>
    <t>IBVS 5592</t>
  </si>
  <si>
    <t>EW</t>
  </si>
  <si>
    <t>IBVS 5657</t>
  </si>
  <si>
    <t>EX Leo / GSC 01428-00562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</si>
  <si>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</si>
  <si>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</si>
  <si>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</si>
  <si>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</si>
  <si>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</si>
  <si>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</si>
  <si>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5802</t>
  </si>
  <si>
    <t>Start of linear fit &gt;&gt;&gt;&gt;&gt;&gt;&gt;&gt;&gt;&gt;&gt;&gt;&gt;&gt;&gt;&gt;&gt;&gt;&gt;&gt;&gt;</t>
  </si>
  <si>
    <t>IBVS 5668</t>
  </si>
  <si>
    <t>IBVS 5898</t>
  </si>
  <si>
    <t>Add cycle</t>
  </si>
  <si>
    <t>Old Cycle</t>
  </si>
  <si>
    <t>IBVS 6010</t>
  </si>
  <si>
    <t>OEJV 0094</t>
  </si>
  <si>
    <t>2013JAVSO..41..122</t>
  </si>
  <si>
    <t>OEJV 0160</t>
  </si>
  <si>
    <t>2013JAVSO..41..328</t>
  </si>
  <si>
    <t>IBVS 6084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</si>
  <si>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</si>
  <si>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</si>
  <si>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</si>
  <si>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</si>
  <si>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</si>
  <si>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</si>
  <si>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</si>
  <si>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</si>
  <si>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</si>
  <si>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</si>
  <si>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</si>
  <si>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2452309.6134 </t>
  </si>
  <si>
    <t> 04.02.2002 02:43 </t>
  </si>
  <si>
    <t> 0.0125 </t>
  </si>
  <si>
    <t>E </t>
  </si>
  <si>
    <t>?</t>
  </si>
  <si>
    <t> T.Pribulla et al. </t>
  </si>
  <si>
    <t>IBVS 5258 </t>
  </si>
  <si>
    <t>2452320.4419 </t>
  </si>
  <si>
    <t> 14.02.2002 22:36 </t>
  </si>
  <si>
    <t> 0.0129 </t>
  </si>
  <si>
    <t>2452321.4647 </t>
  </si>
  <si>
    <t> 15.02.2002 23:09 </t>
  </si>
  <si>
    <t> 0.0142 </t>
  </si>
  <si>
    <t>2452704.5261 </t>
  </si>
  <si>
    <t> 06.03.2003 00:37 </t>
  </si>
  <si>
    <t> 0.0067 </t>
  </si>
  <si>
    <t> M.Drozdz et al. </t>
  </si>
  <si>
    <t>IBVS 5623 </t>
  </si>
  <si>
    <t>2453008.9407 </t>
  </si>
  <si>
    <t> 04.01.2004 10:34 </t>
  </si>
  <si>
    <t> 0.0092 </t>
  </si>
  <si>
    <t> S.Dvorak </t>
  </si>
  <si>
    <t>IBVS 5603 </t>
  </si>
  <si>
    <t>2453067.3696 </t>
  </si>
  <si>
    <t> 02.03.2004 20:52 </t>
  </si>
  <si>
    <t> 0.0074 </t>
  </si>
  <si>
    <t> T.Krajci </t>
  </si>
  <si>
    <t>IBVS 5592 </t>
  </si>
  <si>
    <t>2453431.4367 </t>
  </si>
  <si>
    <t> 01.03.2005 22:28 </t>
  </si>
  <si>
    <t> 0.0058 </t>
  </si>
  <si>
    <t>2453431.6400 </t>
  </si>
  <si>
    <t> 02.03.2005 03:21 </t>
  </si>
  <si>
    <t> 0.0048 </t>
  </si>
  <si>
    <t>2453432.4569 </t>
  </si>
  <si>
    <t> 02.03.2005 22:57 </t>
  </si>
  <si>
    <t> 0.0045 </t>
  </si>
  <si>
    <t>2453433.4799 </t>
  </si>
  <si>
    <t> 03.03.2005 23:31 </t>
  </si>
  <si>
    <t> 0.0060 </t>
  </si>
  <si>
    <t>2453453.4993 </t>
  </si>
  <si>
    <t> 23.03.2005 23:58 </t>
  </si>
  <si>
    <t> 0.0036 </t>
  </si>
  <si>
    <t>o</t>
  </si>
  <si>
    <t> U.Schmidt </t>
  </si>
  <si>
    <t>BAVM 173 </t>
  </si>
  <si>
    <t>2453464.9407 </t>
  </si>
  <si>
    <t> 04.04.2005 10:34 </t>
  </si>
  <si>
    <t> 0.0040 </t>
  </si>
  <si>
    <t> Nakajima </t>
  </si>
  <si>
    <t>VSB 44 </t>
  </si>
  <si>
    <t>2453465.1487 </t>
  </si>
  <si>
    <t> 04.04.2005 15:34 </t>
  </si>
  <si>
    <t> 0.0077 </t>
  </si>
  <si>
    <t>2453476.3863 </t>
  </si>
  <si>
    <t> 15.04.2005 21:16 </t>
  </si>
  <si>
    <t> 0.0087 </t>
  </si>
  <si>
    <t> F.Agerer </t>
  </si>
  <si>
    <t>2453812.2477 </t>
  </si>
  <si>
    <t> 17.03.2006 17:56 </t>
  </si>
  <si>
    <t> -0.0047 </t>
  </si>
  <si>
    <t> K.Nagai et al. </t>
  </si>
  <si>
    <t>VSB 45 </t>
  </si>
  <si>
    <t>2453823.6942 </t>
  </si>
  <si>
    <t> 29.03.2006 04:39 </t>
  </si>
  <si>
    <t> 0.0008 </t>
  </si>
  <si>
    <t>C </t>
  </si>
  <si>
    <t>V </t>
  </si>
  <si>
    <t> V.Petriew </t>
  </si>
  <si>
    <t> JAAVSO 41;122 </t>
  </si>
  <si>
    <t>2454209.4219 </t>
  </si>
  <si>
    <t> 18.04.2007 22:07 </t>
  </si>
  <si>
    <t> 0.0037 </t>
  </si>
  <si>
    <t> H.Jungbluth </t>
  </si>
  <si>
    <t>BAVM 186 </t>
  </si>
  <si>
    <t>2454506.4816 </t>
  </si>
  <si>
    <t> 09.02.2008 23:33 </t>
  </si>
  <si>
    <t> 0.0062 </t>
  </si>
  <si>
    <t> S.Parimucha et al. </t>
  </si>
  <si>
    <t>IBVS 5898 </t>
  </si>
  <si>
    <t>2454557.3448 </t>
  </si>
  <si>
    <t> 31.03.2008 20:16 </t>
  </si>
  <si>
    <t> -0.0021 </t>
  </si>
  <si>
    <t>R</t>
  </si>
  <si>
    <t> R.Ehrenberger </t>
  </si>
  <si>
    <t>OEJV 0094 </t>
  </si>
  <si>
    <t>2455621.5624 </t>
  </si>
  <si>
    <t> 01.03.2011 01:29 </t>
  </si>
  <si>
    <t> -0.0009 </t>
  </si>
  <si>
    <t> M.Lehky </t>
  </si>
  <si>
    <t>OEJV 0160 </t>
  </si>
  <si>
    <t>2455671.4107 </t>
  </si>
  <si>
    <t> 19.04.2011 21:51 </t>
  </si>
  <si>
    <t> -0.0027 </t>
  </si>
  <si>
    <t>BAVM 220 </t>
  </si>
  <si>
    <t>2456011.3759 </t>
  </si>
  <si>
    <t> 24.03.2012 21:01 </t>
  </si>
  <si>
    <t> 0.0017 </t>
  </si>
  <si>
    <t>IBVS 6044 </t>
  </si>
  <si>
    <t>2456354.3966 </t>
  </si>
  <si>
    <t> 02.03.2013 21:31 </t>
  </si>
  <si>
    <t> -0.0030 </t>
  </si>
  <si>
    <t> L.Corp </t>
  </si>
  <si>
    <t> JAAVSO 41;328 </t>
  </si>
  <si>
    <t>2456398.5324 </t>
  </si>
  <si>
    <t> 16.04.2013 00:46 </t>
  </si>
  <si>
    <t> 0.0032 </t>
  </si>
  <si>
    <t>-I</t>
  </si>
  <si>
    <t>BAVM 232 </t>
  </si>
  <si>
    <t>VSB-64</t>
  </si>
  <si>
    <t>s5</t>
  </si>
  <si>
    <t>s6</t>
  </si>
  <si>
    <t>s7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</si>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</sst>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0"/>
    <numFmt numFmtId="177" formatCode="0.000"/>
    <numFmt numFmtId="178" formatCode="0.00000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9" fillId="0" borderId="2" applyNumberFormat="0" applyFont="0" applyFill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172" fontId="0" fillId="0" borderId="0" xfId="0" applyNumberFormat="1" applyAlignment="1">
      <alignment horizontal="left"/>
    </xf>
    <xf numFmtId="0" fontId="9" fillId="0" borderId="0" xfId="0" applyFont="1" applyAlignment="1">
      <alignment horizontal="left" vertical="center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/>
    <xf numFmtId="0" fontId="21" fillId="0" borderId="0" xfId="0" applyFont="1" applyBorder="1" applyAlignment="1">
      <alignment horizontal="center"/>
    </xf>
    <xf numFmtId="177" fontId="21" fillId="0" borderId="0" xfId="0" applyNumberFormat="1" applyFont="1" applyFill="1" applyBorder="1" applyAlignment="1" applyProtection="1">
      <alignment horizontal="left" vertical="top"/>
    </xf>
    <xf numFmtId="0" fontId="21" fillId="0" borderId="0" xfId="0" applyNumberFormat="1" applyFont="1" applyFill="1" applyBorder="1" applyAlignment="1" applyProtection="1">
      <alignment horizontal="left" vertical="top"/>
    </xf>
    <xf numFmtId="0" fontId="6" fillId="0" borderId="0" xfId="0" applyFont="1" applyAlignment="1"/>
    <xf numFmtId="0" fontId="22" fillId="0" borderId="0" xfId="9" applyFont="1" applyAlignment="1">
      <alignment horizontal="left"/>
    </xf>
    <xf numFmtId="0" fontId="22" fillId="0" borderId="0" xfId="9" applyFont="1" applyAlignment="1">
      <alignment horizontal="center" wrapText="1"/>
    </xf>
    <xf numFmtId="0" fontId="22" fillId="0" borderId="0" xfId="9" applyFont="1" applyAlignment="1">
      <alignment horizontal="left" wrapText="1"/>
    </xf>
    <xf numFmtId="0" fontId="22" fillId="0" borderId="0" xfId="8" applyFont="1"/>
    <xf numFmtId="0" fontId="22" fillId="0" borderId="0" xfId="8" applyFont="1" applyAlignment="1">
      <alignment horizontal="center"/>
    </xf>
    <xf numFmtId="0" fontId="22" fillId="0" borderId="0" xfId="8" applyFont="1" applyAlignment="1">
      <alignment horizontal="left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78" fontId="23" fillId="0" borderId="0" xfId="0" applyNumberFormat="1" applyFont="1" applyAlignment="1">
      <alignment vertical="center" wrapText="1"/>
    </xf>
  </cellXfs>
  <cellStyles count="11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Normal_A_1" xfId="9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Leo - O-C Diagr.</a:t>
            </a:r>
          </a:p>
        </c:rich>
      </c:tx>
      <c:layout>
        <c:manualLayout>
          <c:xMode val="edge"/>
          <c:yMode val="edge"/>
          <c:x val="0.37802941837439946"/>
          <c:y val="3.41615096278102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906854902912253"/>
          <c:w val="0.79967752902672617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22866.5</c:v>
                </c:pt>
                <c:pt idx="29">
                  <c:v>22867</c:v>
                </c:pt>
                <c:pt idx="30">
                  <c:v>22869</c:v>
                </c:pt>
                <c:pt idx="31">
                  <c:v>22869.5</c:v>
                </c:pt>
                <c:pt idx="32">
                  <c:v>22857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2C-4361-93D0-040713068C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4.1999999999999997E-3</c:v>
                  </c:pt>
                  <c:pt idx="30">
                    <c:v>2.2000000000000001E-3</c:v>
                  </c:pt>
                  <c:pt idx="31">
                    <c:v>5.0000000000000001E-3</c:v>
                  </c:pt>
                  <c:pt idx="32">
                    <c:v>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4.1999999999999997E-3</c:v>
                  </c:pt>
                  <c:pt idx="30">
                    <c:v>2.2000000000000001E-3</c:v>
                  </c:pt>
                  <c:pt idx="31">
                    <c:v>5.0000000000000001E-3</c:v>
                  </c:pt>
                  <c:pt idx="32">
                    <c:v>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22866.5</c:v>
                </c:pt>
                <c:pt idx="29">
                  <c:v>22867</c:v>
                </c:pt>
                <c:pt idx="30">
                  <c:v>22869</c:v>
                </c:pt>
                <c:pt idx="31">
                  <c:v>22869.5</c:v>
                </c:pt>
                <c:pt idx="32">
                  <c:v>22857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2C-4361-93D0-040713068C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4.1999999999999997E-3</c:v>
                  </c:pt>
                  <c:pt idx="30">
                    <c:v>2.2000000000000001E-3</c:v>
                  </c:pt>
                  <c:pt idx="31">
                    <c:v>5.0000000000000001E-3</c:v>
                  </c:pt>
                  <c:pt idx="32">
                    <c:v>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4.1999999999999997E-3</c:v>
                  </c:pt>
                  <c:pt idx="30">
                    <c:v>2.2000000000000001E-3</c:v>
                  </c:pt>
                  <c:pt idx="31">
                    <c:v>5.0000000000000001E-3</c:v>
                  </c:pt>
                  <c:pt idx="32">
                    <c:v>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22866.5</c:v>
                </c:pt>
                <c:pt idx="29">
                  <c:v>22867</c:v>
                </c:pt>
                <c:pt idx="30">
                  <c:v>22869</c:v>
                </c:pt>
                <c:pt idx="31">
                  <c:v>22869.5</c:v>
                </c:pt>
                <c:pt idx="32">
                  <c:v>22857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">
                  <c:v>-1.3994000000820961E-2</c:v>
                </c:pt>
                <c:pt idx="2">
                  <c:v>-1.3500000000931323E-2</c:v>
                </c:pt>
                <c:pt idx="3">
                  <c:v>-1.2210000008053612E-2</c:v>
                </c:pt>
                <c:pt idx="4">
                  <c:v>-1.705999999830965E-2</c:v>
                </c:pt>
                <c:pt idx="8">
                  <c:v>-1.2976000005437527E-2</c:v>
                </c:pt>
                <c:pt idx="9">
                  <c:v>-1.3978000002680346E-2</c:v>
                </c:pt>
                <c:pt idx="10">
                  <c:v>-1.4286000005085953E-2</c:v>
                </c:pt>
                <c:pt idx="11">
                  <c:v>-1.2796000002708752E-2</c:v>
                </c:pt>
                <c:pt idx="12">
                  <c:v>-1.4991999996709637E-2</c:v>
                </c:pt>
                <c:pt idx="15">
                  <c:v>-9.8160000052303076E-3</c:v>
                </c:pt>
                <c:pt idx="18">
                  <c:v>-9.7919999971054494E-3</c:v>
                </c:pt>
                <c:pt idx="23">
                  <c:v>-6.1040000000502914E-3</c:v>
                </c:pt>
                <c:pt idx="24">
                  <c:v>5.6799999583745375E-4</c:v>
                </c:pt>
                <c:pt idx="26">
                  <c:v>4.7779999949852936E-3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2C-4361-93D0-040713068C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4.1999999999999997E-3</c:v>
                  </c:pt>
                  <c:pt idx="30">
                    <c:v>2.2000000000000001E-3</c:v>
                  </c:pt>
                  <c:pt idx="31">
                    <c:v>5.0000000000000001E-3</c:v>
                  </c:pt>
                  <c:pt idx="32">
                    <c:v>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4.1999999999999997E-3</c:v>
                  </c:pt>
                  <c:pt idx="30">
                    <c:v>2.2000000000000001E-3</c:v>
                  </c:pt>
                  <c:pt idx="31">
                    <c:v>5.0000000000000001E-3</c:v>
                  </c:pt>
                  <c:pt idx="32">
                    <c:v>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22866.5</c:v>
                </c:pt>
                <c:pt idx="29">
                  <c:v>22867</c:v>
                </c:pt>
                <c:pt idx="30">
                  <c:v>22869</c:v>
                </c:pt>
                <c:pt idx="31">
                  <c:v>22869.5</c:v>
                </c:pt>
                <c:pt idx="32">
                  <c:v>22857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5">
                  <c:v>-1.4344000002893154E-2</c:v>
                </c:pt>
                <c:pt idx="6">
                  <c:v>-1.2439999998605344E-2</c:v>
                </c:pt>
                <c:pt idx="7">
                  <c:v>-1.3912000002164859E-2</c:v>
                </c:pt>
                <c:pt idx="13">
                  <c:v>-1.4503999998851214E-2</c:v>
                </c:pt>
                <c:pt idx="14">
                  <c:v>-1.0806000005686656E-2</c:v>
                </c:pt>
                <c:pt idx="16">
                  <c:v>-2.090400000452064E-2</c:v>
                </c:pt>
                <c:pt idx="17">
                  <c:v>-1.5316000004531816E-2</c:v>
                </c:pt>
                <c:pt idx="19">
                  <c:v>-5.1999999996041879E-3</c:v>
                </c:pt>
                <c:pt idx="20">
                  <c:v>-1.3198000000556931E-2</c:v>
                </c:pt>
                <c:pt idx="21">
                  <c:v>-1.3167999997676816E-2</c:v>
                </c:pt>
                <c:pt idx="22">
                  <c:v>-4.7160000030999072E-3</c:v>
                </c:pt>
                <c:pt idx="25">
                  <c:v>-1.790000002074521E-3</c:v>
                </c:pt>
                <c:pt idx="27">
                  <c:v>6.167999999888707E-3</c:v>
                </c:pt>
                <c:pt idx="28">
                  <c:v>3.5339999958523549E-3</c:v>
                </c:pt>
                <c:pt idx="29">
                  <c:v>1.3132000000041444E-2</c:v>
                </c:pt>
                <c:pt idx="30">
                  <c:v>4.3240000013611279E-3</c:v>
                </c:pt>
                <c:pt idx="31">
                  <c:v>-2.7799999952549115E-4</c:v>
                </c:pt>
                <c:pt idx="32">
                  <c:v>5.7920000253943726E-3</c:v>
                </c:pt>
                <c:pt idx="33">
                  <c:v>1.1721999995643273E-2</c:v>
                </c:pt>
                <c:pt idx="34">
                  <c:v>1.1261999999987893E-2</c:v>
                </c:pt>
                <c:pt idx="35">
                  <c:v>3.7659999943571165E-3</c:v>
                </c:pt>
                <c:pt idx="36">
                  <c:v>8.8639999958104454E-3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2C-4361-93D0-040713068C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4.1999999999999997E-3</c:v>
                  </c:pt>
                  <c:pt idx="30">
                    <c:v>2.2000000000000001E-3</c:v>
                  </c:pt>
                  <c:pt idx="31">
                    <c:v>5.0000000000000001E-3</c:v>
                  </c:pt>
                  <c:pt idx="32">
                    <c:v>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4.1999999999999997E-3</c:v>
                  </c:pt>
                  <c:pt idx="30">
                    <c:v>2.2000000000000001E-3</c:v>
                  </c:pt>
                  <c:pt idx="31">
                    <c:v>5.0000000000000001E-3</c:v>
                  </c:pt>
                  <c:pt idx="32">
                    <c:v>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22866.5</c:v>
                </c:pt>
                <c:pt idx="29">
                  <c:v>22867</c:v>
                </c:pt>
                <c:pt idx="30">
                  <c:v>22869</c:v>
                </c:pt>
                <c:pt idx="31">
                  <c:v>22869.5</c:v>
                </c:pt>
                <c:pt idx="32">
                  <c:v>22857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2C-4361-93D0-040713068C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4.1999999999999997E-3</c:v>
                  </c:pt>
                  <c:pt idx="30">
                    <c:v>2.2000000000000001E-3</c:v>
                  </c:pt>
                  <c:pt idx="31">
                    <c:v>5.0000000000000001E-3</c:v>
                  </c:pt>
                  <c:pt idx="32">
                    <c:v>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4.1999999999999997E-3</c:v>
                  </c:pt>
                  <c:pt idx="30">
                    <c:v>2.2000000000000001E-3</c:v>
                  </c:pt>
                  <c:pt idx="31">
                    <c:v>5.0000000000000001E-3</c:v>
                  </c:pt>
                  <c:pt idx="32">
                    <c:v>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22866.5</c:v>
                </c:pt>
                <c:pt idx="29">
                  <c:v>22867</c:v>
                </c:pt>
                <c:pt idx="30">
                  <c:v>22869</c:v>
                </c:pt>
                <c:pt idx="31">
                  <c:v>22869.5</c:v>
                </c:pt>
                <c:pt idx="32">
                  <c:v>22857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2C-4361-93D0-040713068C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4.1999999999999997E-3</c:v>
                  </c:pt>
                  <c:pt idx="30">
                    <c:v>2.2000000000000001E-3</c:v>
                  </c:pt>
                  <c:pt idx="31">
                    <c:v>5.0000000000000001E-3</c:v>
                  </c:pt>
                  <c:pt idx="32">
                    <c:v>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4.1999999999999997E-3</c:v>
                  </c:pt>
                  <c:pt idx="30">
                    <c:v>2.2000000000000001E-3</c:v>
                  </c:pt>
                  <c:pt idx="31">
                    <c:v>5.0000000000000001E-3</c:v>
                  </c:pt>
                  <c:pt idx="32">
                    <c:v>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22866.5</c:v>
                </c:pt>
                <c:pt idx="29">
                  <c:v>22867</c:v>
                </c:pt>
                <c:pt idx="30">
                  <c:v>22869</c:v>
                </c:pt>
                <c:pt idx="31">
                  <c:v>22869.5</c:v>
                </c:pt>
                <c:pt idx="32">
                  <c:v>22857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2C-4361-93D0-040713068C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22866.5</c:v>
                </c:pt>
                <c:pt idx="29">
                  <c:v>22867</c:v>
                </c:pt>
                <c:pt idx="30">
                  <c:v>22869</c:v>
                </c:pt>
                <c:pt idx="31">
                  <c:v>22869.5</c:v>
                </c:pt>
                <c:pt idx="32">
                  <c:v>22857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-3.2011207047516532E-2</c:v>
                </c:pt>
                <c:pt idx="1">
                  <c:v>-1.7138414011919165E-2</c:v>
                </c:pt>
                <c:pt idx="2">
                  <c:v>-1.709614136586958E-2</c:v>
                </c:pt>
                <c:pt idx="3">
                  <c:v>-1.7092153380393202E-2</c:v>
                </c:pt>
                <c:pt idx="4">
                  <c:v>-1.5596658826752131E-2</c:v>
                </c:pt>
                <c:pt idx="5">
                  <c:v>-1.5523279893986809E-2</c:v>
                </c:pt>
                <c:pt idx="6">
                  <c:v>-1.4408239154792026E-2</c:v>
                </c:pt>
                <c:pt idx="7">
                  <c:v>-1.418012638554331E-2</c:v>
                </c:pt>
                <c:pt idx="8">
                  <c:v>-1.2758808361762835E-2</c:v>
                </c:pt>
                <c:pt idx="9">
                  <c:v>-1.2758010764667559E-2</c:v>
                </c:pt>
                <c:pt idx="10">
                  <c:v>-1.2754820376286457E-2</c:v>
                </c:pt>
                <c:pt idx="11">
                  <c:v>-1.2750832390810082E-2</c:v>
                </c:pt>
                <c:pt idx="12">
                  <c:v>-1.2672667875473109E-2</c:v>
                </c:pt>
                <c:pt idx="13">
                  <c:v>-1.2628002438137696E-2</c:v>
                </c:pt>
                <c:pt idx="14">
                  <c:v>-1.2627204841042419E-2</c:v>
                </c:pt>
                <c:pt idx="15">
                  <c:v>-1.2583337000802282E-2</c:v>
                </c:pt>
                <c:pt idx="16">
                  <c:v>-1.127208737616979E-2</c:v>
                </c:pt>
                <c:pt idx="17">
                  <c:v>-1.1227421938834376E-2</c:v>
                </c:pt>
                <c:pt idx="18">
                  <c:v>-9.7215586229547277E-3</c:v>
                </c:pt>
                <c:pt idx="19">
                  <c:v>-8.561852446424531E-3</c:v>
                </c:pt>
                <c:pt idx="20">
                  <c:v>-8.3632507697009965E-3</c:v>
                </c:pt>
                <c:pt idx="21">
                  <c:v>-8.3632507697009965E-3</c:v>
                </c:pt>
                <c:pt idx="22">
                  <c:v>-4.2085675004122809E-3</c:v>
                </c:pt>
                <c:pt idx="23">
                  <c:v>-4.0139538091651245E-3</c:v>
                </c:pt>
                <c:pt idx="24">
                  <c:v>-2.6867522426271273E-3</c:v>
                </c:pt>
                <c:pt idx="25">
                  <c:v>-1.347586719660003E-3</c:v>
                </c:pt>
                <c:pt idx="26">
                  <c:v>-1.1753057470805517E-3</c:v>
                </c:pt>
                <c:pt idx="27">
                  <c:v>4.2922223410312085E-3</c:v>
                </c:pt>
                <c:pt idx="28">
                  <c:v>4.4653009107059327E-3</c:v>
                </c:pt>
                <c:pt idx="29">
                  <c:v>4.4660985078012055E-3</c:v>
                </c:pt>
                <c:pt idx="30">
                  <c:v>4.4692888961823107E-3</c:v>
                </c:pt>
                <c:pt idx="31">
                  <c:v>4.4700864932775836E-3</c:v>
                </c:pt>
                <c:pt idx="32">
                  <c:v>4.4501465658957004E-3</c:v>
                </c:pt>
                <c:pt idx="33">
                  <c:v>8.5378316791812972E-3</c:v>
                </c:pt>
                <c:pt idx="34">
                  <c:v>1.0037314218298746E-2</c:v>
                </c:pt>
                <c:pt idx="35">
                  <c:v>1.0075598878871959E-2</c:v>
                </c:pt>
                <c:pt idx="36">
                  <c:v>1.0076396475967232E-2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2C-4361-93D0-040713068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56880"/>
        <c:axId val="1"/>
      </c:scatterChart>
      <c:valAx>
        <c:axId val="418056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540497804746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06405162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56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2004036652123"/>
          <c:y val="0.91925610216154174"/>
          <c:w val="0.78352248779887967"/>
          <c:h val="6.21117773122396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0</xdr:rowOff>
    </xdr:from>
    <xdr:to>
      <xdr:col>17</xdr:col>
      <xdr:colOff>247650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E18FBE1-4C0E-0258-FA25-D88E05276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23" TargetMode="External"/><Relationship Id="rId13" Type="http://schemas.openxmlformats.org/officeDocument/2006/relationships/hyperlink" Target="http://vsolj.cetus-net.org/no44.pdf" TargetMode="External"/><Relationship Id="rId18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konkoly.hu/cgi-bin/IBVS?5258" TargetMode="External"/><Relationship Id="rId21" Type="http://schemas.openxmlformats.org/officeDocument/2006/relationships/hyperlink" Target="http://www.konkoly.hu/cgi-bin/IBVS?6044" TargetMode="External"/><Relationship Id="rId7" Type="http://schemas.openxmlformats.org/officeDocument/2006/relationships/hyperlink" Target="http://www.konkoly.hu/cgi-bin/IBVS?5623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www.konkoly.hu/cgi-bin/IBVS?5898" TargetMode="External"/><Relationship Id="rId2" Type="http://schemas.openxmlformats.org/officeDocument/2006/relationships/hyperlink" Target="http://www.konkoly.hu/cgi-bin/IBVS?5258" TargetMode="External"/><Relationship Id="rId16" Type="http://schemas.openxmlformats.org/officeDocument/2006/relationships/hyperlink" Target="http://www.bav-astro.de/sfs/BAVM_link.php?BAVMnr=186" TargetMode="External"/><Relationship Id="rId20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5258" TargetMode="External"/><Relationship Id="rId6" Type="http://schemas.openxmlformats.org/officeDocument/2006/relationships/hyperlink" Target="http://www.konkoly.hu/cgi-bin/IBVS?5592" TargetMode="External"/><Relationship Id="rId11" Type="http://schemas.openxmlformats.org/officeDocument/2006/relationships/hyperlink" Target="http://www.bav-astro.de/sfs/BAVM_link.php?BAVMnr=173" TargetMode="External"/><Relationship Id="rId5" Type="http://schemas.openxmlformats.org/officeDocument/2006/relationships/hyperlink" Target="http://www.konkoly.hu/cgi-bin/IBVS?5603" TargetMode="External"/><Relationship Id="rId15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konkoly.hu/cgi-bin/IBVS?5623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623" TargetMode="External"/><Relationship Id="rId9" Type="http://schemas.openxmlformats.org/officeDocument/2006/relationships/hyperlink" Target="http://www.konkoly.hu/cgi-bin/IBVS?5623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23</v>
      </c>
      <c r="B2" s="13" t="s">
        <v>31</v>
      </c>
    </row>
    <row r="4" spans="1:6" ht="14.25" thickTop="1" thickBot="1" x14ac:dyDescent="0.25">
      <c r="A4" s="7" t="s">
        <v>24</v>
      </c>
      <c r="C4" s="3">
        <v>48500.008000000002</v>
      </c>
      <c r="D4" s="4">
        <v>0.40860400000000002</v>
      </c>
    </row>
    <row r="5" spans="1:6" ht="13.5" thickTop="1" x14ac:dyDescent="0.2">
      <c r="A5" s="17" t="s">
        <v>34</v>
      </c>
      <c r="B5" s="18"/>
      <c r="C5" s="19">
        <v>-9.5</v>
      </c>
      <c r="D5" s="18" t="s">
        <v>35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48500.008000000002</v>
      </c>
    </row>
    <row r="8" spans="1:6" x14ac:dyDescent="0.2">
      <c r="A8" t="s">
        <v>3</v>
      </c>
      <c r="C8">
        <f>+D4</f>
        <v>0.40860400000000002</v>
      </c>
    </row>
    <row r="9" spans="1:6" x14ac:dyDescent="0.2">
      <c r="A9" s="32" t="s">
        <v>41</v>
      </c>
      <c r="B9" s="33">
        <v>22</v>
      </c>
      <c r="C9" s="31" t="str">
        <f>"F"&amp;B9</f>
        <v>F22</v>
      </c>
      <c r="D9" s="29" t="str">
        <f>"G"&amp;B9</f>
        <v>G22</v>
      </c>
    </row>
    <row r="10" spans="1:6" ht="13.5" thickBot="1" x14ac:dyDescent="0.25">
      <c r="A10" s="18"/>
      <c r="B10" s="18"/>
      <c r="C10" s="6" t="s">
        <v>19</v>
      </c>
      <c r="D10" s="6" t="s">
        <v>20</v>
      </c>
      <c r="E10" s="18"/>
    </row>
    <row r="11" spans="1:6" x14ac:dyDescent="0.2">
      <c r="A11" s="18" t="s">
        <v>15</v>
      </c>
      <c r="B11" s="18"/>
      <c r="C11" s="30">
        <f ca="1">INTERCEPT(INDIRECT($D$9):G992,INDIRECT($C$9):F992)</f>
        <v>-3.2011207047516532E-2</v>
      </c>
      <c r="D11" s="5"/>
      <c r="E11" s="18"/>
    </row>
    <row r="12" spans="1:6" x14ac:dyDescent="0.2">
      <c r="A12" s="18" t="s">
        <v>16</v>
      </c>
      <c r="B12" s="18"/>
      <c r="C12" s="30">
        <f ca="1">SLOPE(INDIRECT($D$9):G992,INDIRECT($C$9):F992)</f>
        <v>1.5951941905504762E-6</v>
      </c>
      <c r="D12" s="5"/>
      <c r="E12" s="18"/>
    </row>
    <row r="13" spans="1:6" x14ac:dyDescent="0.2">
      <c r="A13" s="18" t="s">
        <v>18</v>
      </c>
      <c r="B13" s="18"/>
      <c r="C13" s="5" t="s">
        <v>13</v>
      </c>
    </row>
    <row r="14" spans="1:6" x14ac:dyDescent="0.2">
      <c r="A14" s="18"/>
      <c r="B14" s="18"/>
      <c r="C14" s="18"/>
    </row>
    <row r="15" spans="1:6" x14ac:dyDescent="0.2">
      <c r="A15" s="20" t="s">
        <v>17</v>
      </c>
      <c r="B15" s="18"/>
      <c r="C15" s="21">
        <f ca="1">(C7+C11)+(C8+C12)*INT(MAX(F21:F3533))</f>
        <v>59280.626012396475</v>
      </c>
      <c r="E15" s="22" t="s">
        <v>44</v>
      </c>
      <c r="F15" s="19">
        <v>1</v>
      </c>
    </row>
    <row r="16" spans="1:6" x14ac:dyDescent="0.2">
      <c r="A16" s="24" t="s">
        <v>4</v>
      </c>
      <c r="B16" s="18"/>
      <c r="C16" s="25">
        <f ca="1">+C8+C12</f>
        <v>0.4086055951941906</v>
      </c>
      <c r="E16" s="22" t="s">
        <v>36</v>
      </c>
      <c r="F16" s="23">
        <f ca="1">NOW()+15018.5+$C$5/24</f>
        <v>59961.706368055551</v>
      </c>
    </row>
    <row r="17" spans="1:17" ht="13.5" thickBot="1" x14ac:dyDescent="0.25">
      <c r="A17" s="22" t="s">
        <v>38</v>
      </c>
      <c r="B17" s="18"/>
      <c r="C17" s="18">
        <f>COUNT(C21:C2191)</f>
        <v>37</v>
      </c>
      <c r="E17" s="22" t="s">
        <v>45</v>
      </c>
      <c r="F17" s="23">
        <f ca="1">ROUND(2*(F16-$C$7)/$C$8,0)/2+F15</f>
        <v>28052</v>
      </c>
    </row>
    <row r="18" spans="1:17" ht="14.25" thickTop="1" thickBot="1" x14ac:dyDescent="0.25">
      <c r="A18" s="24" t="s">
        <v>5</v>
      </c>
      <c r="B18" s="18"/>
      <c r="C18" s="27">
        <f ca="1">+C15</f>
        <v>59280.626012396475</v>
      </c>
      <c r="D18" s="28">
        <f ca="1">+C16</f>
        <v>0.4086055951941906</v>
      </c>
      <c r="E18" s="22" t="s">
        <v>37</v>
      </c>
      <c r="F18" s="29">
        <f ca="1">ROUND(2*(F16-$C$15)/$C$16,0)/2+F15</f>
        <v>1668</v>
      </c>
    </row>
    <row r="19" spans="1:17" ht="13.5" thickTop="1" x14ac:dyDescent="0.2">
      <c r="E19" s="22" t="s">
        <v>39</v>
      </c>
      <c r="F19" s="26">
        <f ca="1">+$C$15+$C$16*F18-15018.5-$C$5/24</f>
        <v>44944.07597851372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12</v>
      </c>
      <c r="E20" s="6" t="s">
        <v>9</v>
      </c>
      <c r="F20" s="6" t="s">
        <v>10</v>
      </c>
      <c r="G20" s="6" t="s">
        <v>11</v>
      </c>
      <c r="H20" s="9" t="s">
        <v>59</v>
      </c>
      <c r="I20" s="9" t="s">
        <v>62</v>
      </c>
      <c r="J20" s="9" t="s">
        <v>56</v>
      </c>
      <c r="K20" s="9" t="s">
        <v>54</v>
      </c>
      <c r="L20" s="9" t="s">
        <v>173</v>
      </c>
      <c r="M20" s="9" t="s">
        <v>174</v>
      </c>
      <c r="N20" s="9" t="s">
        <v>175</v>
      </c>
      <c r="O20" s="9" t="s">
        <v>22</v>
      </c>
      <c r="P20" s="8" t="s">
        <v>21</v>
      </c>
      <c r="Q20" s="6" t="s">
        <v>14</v>
      </c>
    </row>
    <row r="21" spans="1:17" x14ac:dyDescent="0.2">
      <c r="A21" t="s">
        <v>24</v>
      </c>
      <c r="B21" s="5" t="s">
        <v>25</v>
      </c>
      <c r="C21" s="14">
        <v>48500.008000000002</v>
      </c>
      <c r="D21" s="15" t="s">
        <v>13</v>
      </c>
      <c r="E21">
        <f t="shared" ref="E21:E48" si="0">+(C21-C$7)/C$8</f>
        <v>0</v>
      </c>
      <c r="F21">
        <f t="shared" ref="F21:F52" si="1">ROUND(2*E21,0)/2</f>
        <v>0</v>
      </c>
      <c r="H21" s="29">
        <v>0</v>
      </c>
      <c r="O21">
        <f t="shared" ref="O21:O48" ca="1" si="2">+C$11+C$12*$F21</f>
        <v>-3.2011207047516532E-2</v>
      </c>
      <c r="Q21" s="2">
        <f t="shared" ref="Q21:Q48" si="3">+C21-15018.5</f>
        <v>33481.508000000002</v>
      </c>
    </row>
    <row r="22" spans="1:17" x14ac:dyDescent="0.2">
      <c r="A22" s="65" t="s">
        <v>26</v>
      </c>
      <c r="B22" s="5" t="s">
        <v>27</v>
      </c>
      <c r="C22" s="10">
        <v>52309.613400000002</v>
      </c>
      <c r="D22" s="15"/>
      <c r="E22">
        <f t="shared" si="0"/>
        <v>9323.465751681335</v>
      </c>
      <c r="F22">
        <f t="shared" si="1"/>
        <v>9323.5</v>
      </c>
      <c r="G22">
        <f t="shared" ref="G22:G48" si="4">+C22-(C$7+F22*C$8)</f>
        <v>-1.3994000000820961E-2</v>
      </c>
      <c r="J22">
        <f>+G22</f>
        <v>-1.3994000000820961E-2</v>
      </c>
      <c r="O22">
        <f t="shared" ca="1" si="2"/>
        <v>-1.7138414011919165E-2</v>
      </c>
      <c r="Q22" s="2">
        <f t="shared" si="3"/>
        <v>37291.113400000002</v>
      </c>
    </row>
    <row r="23" spans="1:17" x14ac:dyDescent="0.2">
      <c r="A23" t="s">
        <v>26</v>
      </c>
      <c r="B23" s="5" t="s">
        <v>25</v>
      </c>
      <c r="C23" s="10">
        <v>52320.441899999998</v>
      </c>
      <c r="D23" s="15"/>
      <c r="E23">
        <f t="shared" si="0"/>
        <v>9349.9669606758525</v>
      </c>
      <c r="F23">
        <f t="shared" si="1"/>
        <v>9350</v>
      </c>
      <c r="G23">
        <f t="shared" si="4"/>
        <v>-1.3500000000931323E-2</v>
      </c>
      <c r="J23">
        <f>+G23</f>
        <v>-1.3500000000931323E-2</v>
      </c>
      <c r="O23">
        <f t="shared" ca="1" si="2"/>
        <v>-1.709614136586958E-2</v>
      </c>
      <c r="Q23" s="2">
        <f t="shared" si="3"/>
        <v>37301.941899999998</v>
      </c>
    </row>
    <row r="24" spans="1:17" x14ac:dyDescent="0.2">
      <c r="A24" t="s">
        <v>26</v>
      </c>
      <c r="B24" s="5" t="s">
        <v>27</v>
      </c>
      <c r="C24" s="10">
        <v>52321.464699999997</v>
      </c>
      <c r="D24" s="15"/>
      <c r="E24">
        <f t="shared" si="0"/>
        <v>9352.470117766823</v>
      </c>
      <c r="F24">
        <f t="shared" si="1"/>
        <v>9352.5</v>
      </c>
      <c r="G24">
        <f t="shared" si="4"/>
        <v>-1.2210000008053612E-2</v>
      </c>
      <c r="J24">
        <f>+G24</f>
        <v>-1.2210000008053612E-2</v>
      </c>
      <c r="O24">
        <f t="shared" ca="1" si="2"/>
        <v>-1.7092153380393202E-2</v>
      </c>
      <c r="Q24" s="2">
        <f t="shared" si="3"/>
        <v>37302.964699999997</v>
      </c>
    </row>
    <row r="25" spans="1:17" x14ac:dyDescent="0.2">
      <c r="A25" s="10" t="s">
        <v>28</v>
      </c>
      <c r="B25" s="5" t="s">
        <v>25</v>
      </c>
      <c r="C25" s="10">
        <v>52704.526100000003</v>
      </c>
      <c r="D25" s="10">
        <v>2.9999999999999997E-4</v>
      </c>
      <c r="E25">
        <f t="shared" si="0"/>
        <v>10289.958248083722</v>
      </c>
      <c r="F25">
        <f t="shared" si="1"/>
        <v>10290</v>
      </c>
      <c r="G25">
        <f t="shared" si="4"/>
        <v>-1.705999999830965E-2</v>
      </c>
      <c r="J25">
        <f>+G25</f>
        <v>-1.705999999830965E-2</v>
      </c>
      <c r="O25">
        <f t="shared" ca="1" si="2"/>
        <v>-1.5596658826752131E-2</v>
      </c>
      <c r="Q25" s="2">
        <f t="shared" si="3"/>
        <v>37686.026100000003</v>
      </c>
    </row>
    <row r="26" spans="1:17" x14ac:dyDescent="0.2">
      <c r="A26" s="35" t="s">
        <v>42</v>
      </c>
      <c r="B26" s="34" t="s">
        <v>27</v>
      </c>
      <c r="C26" s="35">
        <v>52723.3246</v>
      </c>
      <c r="D26" s="35">
        <v>2.0000000000000001E-4</v>
      </c>
      <c r="E26">
        <f t="shared" si="0"/>
        <v>10335.964895106259</v>
      </c>
      <c r="F26">
        <f t="shared" si="1"/>
        <v>10336</v>
      </c>
      <c r="G26">
        <f t="shared" si="4"/>
        <v>-1.4344000002893154E-2</v>
      </c>
      <c r="K26">
        <f>+G26</f>
        <v>-1.4344000002893154E-2</v>
      </c>
      <c r="O26">
        <f t="shared" ca="1" si="2"/>
        <v>-1.5523279893986809E-2</v>
      </c>
      <c r="Q26" s="2">
        <f t="shared" si="3"/>
        <v>37704.8246</v>
      </c>
    </row>
    <row r="27" spans="1:17" x14ac:dyDescent="0.2">
      <c r="A27" s="11" t="s">
        <v>29</v>
      </c>
      <c r="B27" s="12" t="s">
        <v>25</v>
      </c>
      <c r="C27" s="16">
        <v>53008.940699999999</v>
      </c>
      <c r="D27" s="11">
        <v>4.0000000000000002E-4</v>
      </c>
      <c r="E27">
        <f t="shared" si="0"/>
        <v>11034.96955487464</v>
      </c>
      <c r="F27">
        <f t="shared" si="1"/>
        <v>11035</v>
      </c>
      <c r="G27">
        <f t="shared" si="4"/>
        <v>-1.2439999998605344E-2</v>
      </c>
      <c r="K27">
        <f>+G27</f>
        <v>-1.2439999998605344E-2</v>
      </c>
      <c r="O27">
        <f t="shared" ca="1" si="2"/>
        <v>-1.4408239154792026E-2</v>
      </c>
      <c r="Q27" s="2">
        <f t="shared" si="3"/>
        <v>37990.440699999999</v>
      </c>
    </row>
    <row r="28" spans="1:17" x14ac:dyDescent="0.2">
      <c r="A28" s="11" t="s">
        <v>30</v>
      </c>
      <c r="B28" s="5" t="s">
        <v>25</v>
      </c>
      <c r="C28" s="15">
        <v>53067.369599999998</v>
      </c>
      <c r="D28" s="15">
        <v>1E-4</v>
      </c>
      <c r="E28">
        <f t="shared" si="0"/>
        <v>11177.965952364628</v>
      </c>
      <c r="F28">
        <f t="shared" si="1"/>
        <v>11178</v>
      </c>
      <c r="G28">
        <f t="shared" si="4"/>
        <v>-1.3912000002164859E-2</v>
      </c>
      <c r="K28">
        <f>+G28</f>
        <v>-1.3912000002164859E-2</v>
      </c>
      <c r="O28">
        <f t="shared" ca="1" si="2"/>
        <v>-1.418012638554331E-2</v>
      </c>
      <c r="Q28" s="2">
        <f t="shared" si="3"/>
        <v>38048.869599999998</v>
      </c>
    </row>
    <row r="29" spans="1:17" x14ac:dyDescent="0.2">
      <c r="A29" s="10" t="s">
        <v>28</v>
      </c>
      <c r="B29" s="5" t="s">
        <v>25</v>
      </c>
      <c r="C29" s="10">
        <v>53431.436699999998</v>
      </c>
      <c r="D29" s="10">
        <v>1E-4</v>
      </c>
      <c r="E29">
        <f t="shared" si="0"/>
        <v>12068.968243091102</v>
      </c>
      <c r="F29">
        <f t="shared" si="1"/>
        <v>12069</v>
      </c>
      <c r="G29">
        <f t="shared" si="4"/>
        <v>-1.2976000005437527E-2</v>
      </c>
      <c r="J29">
        <f>+G29</f>
        <v>-1.2976000005437527E-2</v>
      </c>
      <c r="O29">
        <f t="shared" ca="1" si="2"/>
        <v>-1.2758808361762835E-2</v>
      </c>
      <c r="Q29" s="2">
        <f t="shared" si="3"/>
        <v>38412.936699999998</v>
      </c>
    </row>
    <row r="30" spans="1:17" x14ac:dyDescent="0.2">
      <c r="A30" s="10" t="s">
        <v>28</v>
      </c>
      <c r="B30" s="5" t="s">
        <v>27</v>
      </c>
      <c r="C30" s="10">
        <v>53431.64</v>
      </c>
      <c r="D30" s="10">
        <v>2.5000000000000001E-3</v>
      </c>
      <c r="E30">
        <f t="shared" si="0"/>
        <v>12069.465790839045</v>
      </c>
      <c r="F30">
        <f t="shared" si="1"/>
        <v>12069.5</v>
      </c>
      <c r="G30">
        <f t="shared" si="4"/>
        <v>-1.3978000002680346E-2</v>
      </c>
      <c r="J30">
        <f>+G30</f>
        <v>-1.3978000002680346E-2</v>
      </c>
      <c r="O30">
        <f t="shared" ca="1" si="2"/>
        <v>-1.2758010764667559E-2</v>
      </c>
      <c r="Q30" s="2">
        <f t="shared" si="3"/>
        <v>38413.14</v>
      </c>
    </row>
    <row r="31" spans="1:17" x14ac:dyDescent="0.2">
      <c r="A31" s="10" t="s">
        <v>28</v>
      </c>
      <c r="B31" s="5" t="s">
        <v>27</v>
      </c>
      <c r="C31" s="10">
        <v>53432.456899999997</v>
      </c>
      <c r="D31" s="10">
        <v>2.0000000000000001E-4</v>
      </c>
      <c r="E31">
        <f t="shared" si="0"/>
        <v>12071.46503705298</v>
      </c>
      <c r="F31">
        <f t="shared" si="1"/>
        <v>12071.5</v>
      </c>
      <c r="G31">
        <f t="shared" si="4"/>
        <v>-1.4286000005085953E-2</v>
      </c>
      <c r="J31">
        <f>+G31</f>
        <v>-1.4286000005085953E-2</v>
      </c>
      <c r="O31">
        <f t="shared" ca="1" si="2"/>
        <v>-1.2754820376286457E-2</v>
      </c>
      <c r="Q31" s="2">
        <f t="shared" si="3"/>
        <v>38413.956899999997</v>
      </c>
    </row>
    <row r="32" spans="1:17" x14ac:dyDescent="0.2">
      <c r="A32" s="36" t="s">
        <v>28</v>
      </c>
      <c r="B32" s="37" t="s">
        <v>25</v>
      </c>
      <c r="C32" s="36">
        <v>53433.479899999998</v>
      </c>
      <c r="D32" s="36">
        <v>2.0000000000000001E-4</v>
      </c>
      <c r="E32" s="38">
        <f t="shared" si="0"/>
        <v>12073.968683615423</v>
      </c>
      <c r="F32">
        <f t="shared" si="1"/>
        <v>12074</v>
      </c>
      <c r="G32">
        <f t="shared" si="4"/>
        <v>-1.2796000002708752E-2</v>
      </c>
      <c r="J32">
        <f>+G32</f>
        <v>-1.2796000002708752E-2</v>
      </c>
      <c r="O32">
        <f t="shared" ca="1" si="2"/>
        <v>-1.2750832390810082E-2</v>
      </c>
      <c r="Q32" s="2">
        <f t="shared" si="3"/>
        <v>38414.979899999998</v>
      </c>
    </row>
    <row r="33" spans="1:17" x14ac:dyDescent="0.2">
      <c r="A33" s="52" t="s">
        <v>32</v>
      </c>
      <c r="B33" s="53"/>
      <c r="C33" s="54">
        <v>53453.499300000003</v>
      </c>
      <c r="D33" s="54">
        <v>4.8999999999999998E-3</v>
      </c>
      <c r="E33" s="38">
        <f t="shared" si="0"/>
        <v>12122.963309218709</v>
      </c>
      <c r="F33">
        <f t="shared" si="1"/>
        <v>12123</v>
      </c>
      <c r="G33">
        <f t="shared" si="4"/>
        <v>-1.4991999996709637E-2</v>
      </c>
      <c r="J33">
        <f>+G33</f>
        <v>-1.4991999996709637E-2</v>
      </c>
      <c r="O33">
        <f t="shared" ca="1" si="2"/>
        <v>-1.2672667875473109E-2</v>
      </c>
      <c r="Q33" s="2">
        <f t="shared" si="3"/>
        <v>38434.999300000003</v>
      </c>
    </row>
    <row r="34" spans="1:17" x14ac:dyDescent="0.2">
      <c r="A34" s="55" t="s">
        <v>113</v>
      </c>
      <c r="B34" s="56" t="s">
        <v>25</v>
      </c>
      <c r="C34" s="54">
        <v>53464.940699999999</v>
      </c>
      <c r="D34" s="56"/>
      <c r="E34" s="38">
        <f t="shared" si="0"/>
        <v>12150.964503529083</v>
      </c>
      <c r="F34">
        <f t="shared" si="1"/>
        <v>12151</v>
      </c>
      <c r="G34">
        <f t="shared" si="4"/>
        <v>-1.4503999998851214E-2</v>
      </c>
      <c r="K34">
        <f>+G34</f>
        <v>-1.4503999998851214E-2</v>
      </c>
      <c r="O34">
        <f t="shared" ca="1" si="2"/>
        <v>-1.2628002438137696E-2</v>
      </c>
      <c r="Q34" s="2">
        <f t="shared" si="3"/>
        <v>38446.440699999999</v>
      </c>
    </row>
    <row r="35" spans="1:17" x14ac:dyDescent="0.2">
      <c r="A35" s="55" t="s">
        <v>113</v>
      </c>
      <c r="B35" s="56" t="s">
        <v>27</v>
      </c>
      <c r="C35" s="54">
        <v>53465.148699999998</v>
      </c>
      <c r="D35" s="56"/>
      <c r="E35" s="38">
        <f t="shared" si="0"/>
        <v>12151.473553856536</v>
      </c>
      <c r="F35">
        <f t="shared" si="1"/>
        <v>12151.5</v>
      </c>
      <c r="G35">
        <f t="shared" si="4"/>
        <v>-1.0806000005686656E-2</v>
      </c>
      <c r="K35">
        <f>+G35</f>
        <v>-1.0806000005686656E-2</v>
      </c>
      <c r="O35">
        <f t="shared" ca="1" si="2"/>
        <v>-1.2627204841042419E-2</v>
      </c>
      <c r="Q35" s="2">
        <f t="shared" si="3"/>
        <v>38446.648699999998</v>
      </c>
    </row>
    <row r="36" spans="1:17" x14ac:dyDescent="0.2">
      <c r="A36" s="52" t="s">
        <v>32</v>
      </c>
      <c r="B36" s="53"/>
      <c r="C36" s="54">
        <v>53476.386299999998</v>
      </c>
      <c r="D36" s="54">
        <v>2.0000000000000001E-4</v>
      </c>
      <c r="E36" s="38">
        <f t="shared" si="0"/>
        <v>12178.975976740307</v>
      </c>
      <c r="F36">
        <f t="shared" si="1"/>
        <v>12179</v>
      </c>
      <c r="G36">
        <f t="shared" si="4"/>
        <v>-9.8160000052303076E-3</v>
      </c>
      <c r="J36">
        <f>+G36</f>
        <v>-9.8160000052303076E-3</v>
      </c>
      <c r="O36">
        <f t="shared" ca="1" si="2"/>
        <v>-1.2583337000802282E-2</v>
      </c>
      <c r="Q36" s="2">
        <f t="shared" si="3"/>
        <v>38457.886299999998</v>
      </c>
    </row>
    <row r="37" spans="1:17" x14ac:dyDescent="0.2">
      <c r="A37" s="55" t="s">
        <v>125</v>
      </c>
      <c r="B37" s="56" t="s">
        <v>25</v>
      </c>
      <c r="C37" s="54">
        <v>53812.2477</v>
      </c>
      <c r="D37" s="56"/>
      <c r="E37" s="38">
        <f t="shared" si="0"/>
        <v>13000.948840442086</v>
      </c>
      <c r="F37">
        <f t="shared" si="1"/>
        <v>13001</v>
      </c>
      <c r="G37">
        <f t="shared" si="4"/>
        <v>-2.090400000452064E-2</v>
      </c>
      <c r="K37">
        <f>+G37</f>
        <v>-2.090400000452064E-2</v>
      </c>
      <c r="O37">
        <f t="shared" ca="1" si="2"/>
        <v>-1.127208737616979E-2</v>
      </c>
      <c r="Q37" s="2">
        <f t="shared" si="3"/>
        <v>38793.7477</v>
      </c>
    </row>
    <row r="38" spans="1:17" x14ac:dyDescent="0.2">
      <c r="A38" s="57" t="s">
        <v>48</v>
      </c>
      <c r="B38" s="56" t="s">
        <v>25</v>
      </c>
      <c r="C38" s="54">
        <v>53823.694199999998</v>
      </c>
      <c r="D38" s="54">
        <v>1E-4</v>
      </c>
      <c r="E38" s="38">
        <f t="shared" si="0"/>
        <v>13028.962516274916</v>
      </c>
      <c r="F38">
        <f t="shared" si="1"/>
        <v>13029</v>
      </c>
      <c r="G38">
        <f t="shared" si="4"/>
        <v>-1.5316000004531816E-2</v>
      </c>
      <c r="K38">
        <f>+G38</f>
        <v>-1.5316000004531816E-2</v>
      </c>
      <c r="O38">
        <f t="shared" ca="1" si="2"/>
        <v>-1.1227421938834376E-2</v>
      </c>
      <c r="Q38" s="2">
        <f t="shared" si="3"/>
        <v>38805.194199999998</v>
      </c>
    </row>
    <row r="39" spans="1:17" x14ac:dyDescent="0.2">
      <c r="A39" s="54" t="s">
        <v>40</v>
      </c>
      <c r="B39" s="53"/>
      <c r="C39" s="54">
        <v>54209.421900000001</v>
      </c>
      <c r="D39" s="54">
        <v>2E-3</v>
      </c>
      <c r="E39" s="38">
        <f t="shared" si="0"/>
        <v>13972.97603547689</v>
      </c>
      <c r="F39">
        <f t="shared" si="1"/>
        <v>13973</v>
      </c>
      <c r="G39">
        <f t="shared" si="4"/>
        <v>-9.7919999971054494E-3</v>
      </c>
      <c r="J39">
        <f>+G39</f>
        <v>-9.7919999971054494E-3</v>
      </c>
      <c r="O39">
        <f t="shared" ca="1" si="2"/>
        <v>-9.7215586229547277E-3</v>
      </c>
      <c r="Q39" s="2">
        <f t="shared" si="3"/>
        <v>39190.921900000001</v>
      </c>
    </row>
    <row r="40" spans="1:17" x14ac:dyDescent="0.2">
      <c r="A40" s="58" t="s">
        <v>43</v>
      </c>
      <c r="B40" s="53" t="s">
        <v>25</v>
      </c>
      <c r="C40" s="58">
        <v>54506.481599999999</v>
      </c>
      <c r="D40" s="58">
        <v>4.0000000000000002E-4</v>
      </c>
      <c r="E40" s="38">
        <f t="shared" si="0"/>
        <v>14699.987273741806</v>
      </c>
      <c r="F40">
        <f t="shared" si="1"/>
        <v>14700</v>
      </c>
      <c r="G40">
        <f t="shared" si="4"/>
        <v>-5.1999999996041879E-3</v>
      </c>
      <c r="K40">
        <f>+G40</f>
        <v>-5.1999999996041879E-3</v>
      </c>
      <c r="O40">
        <f t="shared" ca="1" si="2"/>
        <v>-8.561852446424531E-3</v>
      </c>
      <c r="Q40" s="2">
        <f t="shared" si="3"/>
        <v>39487.981599999999</v>
      </c>
    </row>
    <row r="41" spans="1:17" x14ac:dyDescent="0.2">
      <c r="A41" s="55" t="s">
        <v>148</v>
      </c>
      <c r="B41" s="56" t="s">
        <v>27</v>
      </c>
      <c r="C41" s="54">
        <v>54557.344799999999</v>
      </c>
      <c r="D41" s="56"/>
      <c r="E41" s="38">
        <f t="shared" si="0"/>
        <v>14824.467699777773</v>
      </c>
      <c r="F41">
        <f t="shared" si="1"/>
        <v>14824.5</v>
      </c>
      <c r="G41">
        <f t="shared" si="4"/>
        <v>-1.3198000000556931E-2</v>
      </c>
      <c r="K41">
        <f>+G41</f>
        <v>-1.3198000000556931E-2</v>
      </c>
      <c r="O41">
        <f t="shared" ca="1" si="2"/>
        <v>-8.3632507697009965E-3</v>
      </c>
      <c r="Q41" s="2">
        <f t="shared" si="3"/>
        <v>39538.844799999999</v>
      </c>
    </row>
    <row r="42" spans="1:17" x14ac:dyDescent="0.2">
      <c r="A42" s="59" t="s">
        <v>47</v>
      </c>
      <c r="B42" s="60" t="s">
        <v>27</v>
      </c>
      <c r="C42" s="59">
        <v>54557.344830000002</v>
      </c>
      <c r="D42" s="59">
        <v>4.0000000000000002E-4</v>
      </c>
      <c r="E42" s="38">
        <f t="shared" si="0"/>
        <v>14824.467773198499</v>
      </c>
      <c r="F42">
        <f t="shared" si="1"/>
        <v>14824.5</v>
      </c>
      <c r="G42">
        <f t="shared" si="4"/>
        <v>-1.3167999997676816E-2</v>
      </c>
      <c r="K42">
        <f>+G42</f>
        <v>-1.3167999997676816E-2</v>
      </c>
      <c r="O42">
        <f t="shared" ca="1" si="2"/>
        <v>-8.3632507697009965E-3</v>
      </c>
      <c r="Q42" s="2">
        <f t="shared" si="3"/>
        <v>39538.844830000002</v>
      </c>
    </row>
    <row r="43" spans="1:17" x14ac:dyDescent="0.2">
      <c r="A43" s="57" t="s">
        <v>49</v>
      </c>
      <c r="B43" s="56" t="s">
        <v>25</v>
      </c>
      <c r="C43" s="54">
        <v>55621.562400000003</v>
      </c>
      <c r="D43" s="54">
        <v>8.0000000000000004E-4</v>
      </c>
      <c r="E43" s="38">
        <f t="shared" si="0"/>
        <v>17428.988458262767</v>
      </c>
      <c r="F43">
        <f t="shared" si="1"/>
        <v>17429</v>
      </c>
      <c r="G43">
        <f t="shared" si="4"/>
        <v>-4.7160000030999072E-3</v>
      </c>
      <c r="K43">
        <f>+G43</f>
        <v>-4.7160000030999072E-3</v>
      </c>
      <c r="O43">
        <f t="shared" ca="1" si="2"/>
        <v>-4.2085675004122809E-3</v>
      </c>
      <c r="Q43" s="2">
        <f t="shared" si="3"/>
        <v>40603.062400000003</v>
      </c>
    </row>
    <row r="44" spans="1:17" x14ac:dyDescent="0.2">
      <c r="A44" s="59" t="s">
        <v>46</v>
      </c>
      <c r="B44" s="60" t="s">
        <v>25</v>
      </c>
      <c r="C44" s="59">
        <v>55671.4107</v>
      </c>
      <c r="D44" s="59">
        <v>4.0000000000000002E-4</v>
      </c>
      <c r="E44" s="38">
        <f t="shared" si="0"/>
        <v>17550.985061330772</v>
      </c>
      <c r="F44">
        <f t="shared" si="1"/>
        <v>17551</v>
      </c>
      <c r="G44">
        <f t="shared" si="4"/>
        <v>-6.1040000000502914E-3</v>
      </c>
      <c r="J44">
        <f>+G44</f>
        <v>-6.1040000000502914E-3</v>
      </c>
      <c r="O44">
        <f t="shared" ca="1" si="2"/>
        <v>-4.0139538091651245E-3</v>
      </c>
      <c r="Q44" s="2">
        <f t="shared" si="3"/>
        <v>40652.9107</v>
      </c>
    </row>
    <row r="45" spans="1:17" x14ac:dyDescent="0.2">
      <c r="A45" s="55" t="s">
        <v>161</v>
      </c>
      <c r="B45" s="56" t="s">
        <v>25</v>
      </c>
      <c r="C45" s="54">
        <v>56011.375899999999</v>
      </c>
      <c r="D45" s="56"/>
      <c r="E45" s="38">
        <f t="shared" si="0"/>
        <v>18383.001390098965</v>
      </c>
      <c r="F45">
        <f t="shared" si="1"/>
        <v>18383</v>
      </c>
      <c r="G45">
        <f t="shared" si="4"/>
        <v>5.6799999583745375E-4</v>
      </c>
      <c r="J45">
        <f>+G45</f>
        <v>5.6799999583745375E-4</v>
      </c>
      <c r="O45">
        <f t="shared" ca="1" si="2"/>
        <v>-2.6867522426271273E-3</v>
      </c>
      <c r="Q45" s="2">
        <f t="shared" si="3"/>
        <v>40992.875899999999</v>
      </c>
    </row>
    <row r="46" spans="1:17" x14ac:dyDescent="0.2">
      <c r="A46" s="57" t="s">
        <v>50</v>
      </c>
      <c r="B46" s="56" t="s">
        <v>27</v>
      </c>
      <c r="C46" s="54">
        <v>56354.3966</v>
      </c>
      <c r="D46" s="54">
        <v>8.0000000000000004E-4</v>
      </c>
      <c r="E46" s="38">
        <f t="shared" si="0"/>
        <v>19222.495619230351</v>
      </c>
      <c r="F46">
        <f t="shared" si="1"/>
        <v>19222.5</v>
      </c>
      <c r="G46">
        <f t="shared" si="4"/>
        <v>-1.790000002074521E-3</v>
      </c>
      <c r="K46">
        <f>+G46</f>
        <v>-1.790000002074521E-3</v>
      </c>
      <c r="O46">
        <f t="shared" ca="1" si="2"/>
        <v>-1.347586719660003E-3</v>
      </c>
      <c r="Q46" s="2">
        <f t="shared" si="3"/>
        <v>41335.8966</v>
      </c>
    </row>
    <row r="47" spans="1:17" x14ac:dyDescent="0.2">
      <c r="A47" s="54" t="s">
        <v>51</v>
      </c>
      <c r="B47" s="56" t="s">
        <v>25</v>
      </c>
      <c r="C47" s="54">
        <v>56398.532399999996</v>
      </c>
      <c r="D47" s="54">
        <v>2.5000000000000001E-3</v>
      </c>
      <c r="E47" s="38">
        <f t="shared" si="0"/>
        <v>19330.511693473374</v>
      </c>
      <c r="F47">
        <f t="shared" si="1"/>
        <v>19330.5</v>
      </c>
      <c r="G47">
        <f t="shared" si="4"/>
        <v>4.7779999949852936E-3</v>
      </c>
      <c r="J47">
        <f>+G47</f>
        <v>4.7779999949852936E-3</v>
      </c>
      <c r="O47">
        <f t="shared" ca="1" si="2"/>
        <v>-1.1753057470805517E-3</v>
      </c>
      <c r="Q47" s="2">
        <f t="shared" si="3"/>
        <v>41380.032399999996</v>
      </c>
    </row>
    <row r="48" spans="1:17" x14ac:dyDescent="0.2">
      <c r="A48" s="61" t="s">
        <v>172</v>
      </c>
      <c r="B48" s="62" t="s">
        <v>25</v>
      </c>
      <c r="C48" s="63">
        <v>57799.023999999998</v>
      </c>
      <c r="D48" s="64" t="s">
        <v>61</v>
      </c>
      <c r="E48" s="38">
        <f t="shared" si="0"/>
        <v>22758.015095300085</v>
      </c>
      <c r="F48">
        <f t="shared" si="1"/>
        <v>22758</v>
      </c>
      <c r="G48">
        <f t="shared" si="4"/>
        <v>6.167999999888707E-3</v>
      </c>
      <c r="K48">
        <f t="shared" ref="K48:K53" si="5">+G48</f>
        <v>6.167999999888707E-3</v>
      </c>
      <c r="O48">
        <f t="shared" ca="1" si="2"/>
        <v>4.2922223410312085E-3</v>
      </c>
      <c r="Q48" s="2">
        <f t="shared" si="3"/>
        <v>42780.523999999998</v>
      </c>
    </row>
    <row r="49" spans="1:17" x14ac:dyDescent="0.2">
      <c r="A49" s="66" t="s">
        <v>0</v>
      </c>
      <c r="B49" s="67" t="s">
        <v>25</v>
      </c>
      <c r="C49" s="68">
        <v>57843.354899999998</v>
      </c>
      <c r="D49" s="68">
        <v>2.0999999999999999E-3</v>
      </c>
      <c r="E49" s="38">
        <f>+(C49-C$7)/C$8</f>
        <v>22866.508648960844</v>
      </c>
      <c r="F49">
        <f t="shared" si="1"/>
        <v>22866.5</v>
      </c>
      <c r="G49">
        <f>+C49-(C$7+F49*C$8)</f>
        <v>3.5339999958523549E-3</v>
      </c>
      <c r="K49">
        <f t="shared" si="5"/>
        <v>3.5339999958523549E-3</v>
      </c>
      <c r="O49">
        <f ca="1">+C$11+C$12*$F49</f>
        <v>4.4653009107059327E-3</v>
      </c>
      <c r="Q49" s="2">
        <f>+C49-15018.5</f>
        <v>42824.854899999998</v>
      </c>
    </row>
    <row r="50" spans="1:17" x14ac:dyDescent="0.2">
      <c r="A50" s="66" t="s">
        <v>0</v>
      </c>
      <c r="B50" s="67" t="s">
        <v>25</v>
      </c>
      <c r="C50" s="68">
        <v>57843.568800000001</v>
      </c>
      <c r="D50" s="68">
        <v>4.1999999999999997E-3</v>
      </c>
      <c r="E50" s="38">
        <f>+(C50-C$7)/C$8</f>
        <v>22867.032138696632</v>
      </c>
      <c r="F50">
        <f t="shared" si="1"/>
        <v>22867</v>
      </c>
      <c r="G50">
        <f>+C50-(C$7+F50*C$8)</f>
        <v>1.3132000000041444E-2</v>
      </c>
      <c r="K50">
        <f t="shared" si="5"/>
        <v>1.3132000000041444E-2</v>
      </c>
      <c r="O50">
        <f ca="1">+C$11+C$12*$F50</f>
        <v>4.4660985078012055E-3</v>
      </c>
      <c r="Q50" s="2">
        <f>+C50-15018.5</f>
        <v>42825.068800000001</v>
      </c>
    </row>
    <row r="51" spans="1:17" x14ac:dyDescent="0.2">
      <c r="A51" s="66" t="s">
        <v>0</v>
      </c>
      <c r="B51" s="67" t="s">
        <v>25</v>
      </c>
      <c r="C51" s="68">
        <v>57844.377200000003</v>
      </c>
      <c r="D51" s="68">
        <v>2.2000000000000001E-3</v>
      </c>
      <c r="E51" s="38">
        <f>+(C51-C$7)/C$8</f>
        <v>22869.010582373154</v>
      </c>
      <c r="F51">
        <f t="shared" si="1"/>
        <v>22869</v>
      </c>
      <c r="G51">
        <f>+C51-(C$7+F51*C$8)</f>
        <v>4.3240000013611279E-3</v>
      </c>
      <c r="K51">
        <f t="shared" si="5"/>
        <v>4.3240000013611279E-3</v>
      </c>
      <c r="O51">
        <f ca="1">+C$11+C$12*$F51</f>
        <v>4.4692888961823107E-3</v>
      </c>
      <c r="Q51" s="2">
        <f>+C51-15018.5</f>
        <v>42825.877200000003</v>
      </c>
    </row>
    <row r="52" spans="1:17" x14ac:dyDescent="0.2">
      <c r="A52" s="66" t="s">
        <v>0</v>
      </c>
      <c r="B52" s="67" t="s">
        <v>25</v>
      </c>
      <c r="C52" s="68">
        <v>57844.5769</v>
      </c>
      <c r="D52" s="68">
        <v>5.0000000000000001E-3</v>
      </c>
      <c r="E52" s="38">
        <f>+(C52-C$7)/C$8</f>
        <v>22869.499319634655</v>
      </c>
      <c r="F52">
        <f t="shared" si="1"/>
        <v>22869.5</v>
      </c>
      <c r="G52">
        <f>+C52-(C$7+F52*C$8)</f>
        <v>-2.7799999952549115E-4</v>
      </c>
      <c r="K52">
        <f t="shared" si="5"/>
        <v>-2.7799999952549115E-4</v>
      </c>
      <c r="O52">
        <f ca="1">+C$11+C$12*$F52</f>
        <v>4.4700864932775836E-3</v>
      </c>
      <c r="Q52" s="2">
        <f>+C52-15018.5</f>
        <v>42826.0769</v>
      </c>
    </row>
    <row r="53" spans="1:17" x14ac:dyDescent="0.2">
      <c r="A53" s="69" t="s">
        <v>176</v>
      </c>
      <c r="B53" s="70" t="s">
        <v>25</v>
      </c>
      <c r="C53" s="71">
        <v>57839.475420000032</v>
      </c>
      <c r="D53" s="71">
        <v>1E-3</v>
      </c>
      <c r="E53" s="38">
        <f>+(C53-C$7)/C$8</f>
        <v>22857.014175093806</v>
      </c>
      <c r="F53">
        <f>ROUND(2*E53,0)/2</f>
        <v>22857</v>
      </c>
      <c r="G53">
        <f>+C53-(C$7+F53*C$8)</f>
        <v>5.7920000253943726E-3</v>
      </c>
      <c r="K53">
        <f t="shared" si="5"/>
        <v>5.7920000253943726E-3</v>
      </c>
      <c r="O53">
        <f ca="1">+C$11+C$12*$F53</f>
        <v>4.4501465658957004E-3</v>
      </c>
      <c r="Q53" s="2">
        <f>+C53-15018.5</f>
        <v>42820.975420000032</v>
      </c>
    </row>
    <row r="54" spans="1:17" x14ac:dyDescent="0.2">
      <c r="A54" s="72" t="s">
        <v>177</v>
      </c>
      <c r="B54" s="73" t="s">
        <v>25</v>
      </c>
      <c r="C54" s="74">
        <v>58886.5291</v>
      </c>
      <c r="D54" s="72">
        <v>1E-4</v>
      </c>
      <c r="E54" s="38">
        <f t="shared" ref="E54:E57" si="6">+(C54-C$7)/C$8</f>
        <v>25419.528687922775</v>
      </c>
      <c r="F54">
        <f t="shared" ref="F54:F57" si="7">ROUND(2*E54,0)/2</f>
        <v>25419.5</v>
      </c>
      <c r="G54">
        <f t="shared" ref="G54:G57" si="8">+C54-(C$7+F54*C$8)</f>
        <v>1.1721999995643273E-2</v>
      </c>
      <c r="K54">
        <f t="shared" ref="K54:K57" si="9">+G54</f>
        <v>1.1721999995643273E-2</v>
      </c>
      <c r="O54">
        <f t="shared" ref="O54:O57" ca="1" si="10">+C$11+C$12*$F54</f>
        <v>8.5378316791812972E-3</v>
      </c>
      <c r="Q54" s="2">
        <f t="shared" ref="Q54:Q57" si="11">+C54-15018.5</f>
        <v>43868.0291</v>
      </c>
    </row>
    <row r="55" spans="1:17" x14ac:dyDescent="0.2">
      <c r="A55" s="72" t="s">
        <v>177</v>
      </c>
      <c r="B55" s="73" t="s">
        <v>25</v>
      </c>
      <c r="C55" s="74">
        <v>59270.616399999999</v>
      </c>
      <c r="D55" s="72">
        <v>1E-4</v>
      </c>
      <c r="E55" s="38">
        <f t="shared" si="6"/>
        <v>26359.527562138395</v>
      </c>
      <c r="F55">
        <f t="shared" si="7"/>
        <v>26359.5</v>
      </c>
      <c r="G55">
        <f t="shared" si="8"/>
        <v>1.1261999999987893E-2</v>
      </c>
      <c r="K55">
        <f t="shared" si="9"/>
        <v>1.1261999999987893E-2</v>
      </c>
      <c r="O55">
        <f t="shared" ca="1" si="10"/>
        <v>1.0037314218298746E-2</v>
      </c>
      <c r="Q55" s="2">
        <f t="shared" si="11"/>
        <v>44252.116399999999</v>
      </c>
    </row>
    <row r="56" spans="1:17" x14ac:dyDescent="0.2">
      <c r="A56" s="72" t="s">
        <v>177</v>
      </c>
      <c r="B56" s="73" t="s">
        <v>25</v>
      </c>
      <c r="C56" s="74">
        <v>59280.415399999998</v>
      </c>
      <c r="D56" s="72">
        <v>1.8E-3</v>
      </c>
      <c r="E56" s="38">
        <f t="shared" si="6"/>
        <v>26383.509216747745</v>
      </c>
      <c r="F56">
        <f t="shared" si="7"/>
        <v>26383.5</v>
      </c>
      <c r="G56">
        <f t="shared" si="8"/>
        <v>3.7659999943571165E-3</v>
      </c>
      <c r="K56">
        <f t="shared" si="9"/>
        <v>3.7659999943571165E-3</v>
      </c>
      <c r="O56">
        <f t="shared" ca="1" si="10"/>
        <v>1.0075598878871959E-2</v>
      </c>
      <c r="Q56" s="2">
        <f t="shared" si="11"/>
        <v>44261.915399999998</v>
      </c>
    </row>
    <row r="57" spans="1:17" x14ac:dyDescent="0.2">
      <c r="A57" s="72" t="s">
        <v>177</v>
      </c>
      <c r="B57" s="73" t="s">
        <v>25</v>
      </c>
      <c r="C57" s="74">
        <v>59280.624799999998</v>
      </c>
      <c r="D57" s="72">
        <v>1.6000000000000001E-3</v>
      </c>
      <c r="E57" s="38">
        <f t="shared" si="6"/>
        <v>26384.021693375482</v>
      </c>
      <c r="F57">
        <f t="shared" si="7"/>
        <v>26384</v>
      </c>
      <c r="G57">
        <f t="shared" si="8"/>
        <v>8.8639999958104454E-3</v>
      </c>
      <c r="K57">
        <f t="shared" si="9"/>
        <v>8.8639999958104454E-3</v>
      </c>
      <c r="O57">
        <f t="shared" ca="1" si="10"/>
        <v>1.0076396475967232E-2</v>
      </c>
      <c r="Q57" s="2">
        <f t="shared" si="11"/>
        <v>44262.124799999998</v>
      </c>
    </row>
  </sheetData>
  <protectedRanges>
    <protectedRange sqref="A53:D53" name="Range1"/>
  </protectedRanges>
  <phoneticPr fontId="8" type="noConversion"/>
  <hyperlinks>
    <hyperlink ref="H63955" r:id="rId1" display="http://vsolj.cetus-net.org/bulletin.html"/>
    <hyperlink ref="H63948" r:id="rId2" display="https://www.aavso.org/ejaavso"/>
    <hyperlink ref="I63955" r:id="rId3" display="http://vsolj.cetus-net.org/bulletin.html"/>
    <hyperlink ref="AQ57606" r:id="rId4" display="http://cdsbib.u-strasbg.fr/cgi-bin/cdsbib?1990RMxAA..21..381G"/>
    <hyperlink ref="H63952" r:id="rId5" display="https://www.aavso.org/ejaavso"/>
    <hyperlink ref="AP4970" r:id="rId6" display="http://cdsbib.u-strasbg.fr/cgi-bin/cdsbib?1990RMxAA..21..381G"/>
    <hyperlink ref="AP4973" r:id="rId7" display="http://cdsbib.u-strasbg.fr/cgi-bin/cdsbib?1990RMxAA..21..381G"/>
    <hyperlink ref="AP4971" r:id="rId8" display="http://cdsbib.u-strasbg.fr/cgi-bin/cdsbib?1990RMxAA..21..381G"/>
    <hyperlink ref="AP4955" r:id="rId9" display="http://cdsbib.u-strasbg.fr/cgi-bin/cdsbib?1990RMxAA..21..381G"/>
    <hyperlink ref="AQ5184" r:id="rId10" display="http://cdsbib.u-strasbg.fr/cgi-bin/cdsbib?1990RMxAA..21..381G"/>
    <hyperlink ref="AQ5188" r:id="rId11" display="http://cdsbib.u-strasbg.fr/cgi-bin/cdsbib?1990RMxAA..21..381G"/>
    <hyperlink ref="AQ64868" r:id="rId12" display="http://cdsbib.u-strasbg.fr/cgi-bin/cdsbib?1990RMxAA..21..381G"/>
    <hyperlink ref="I2076" r:id="rId13" display="http://vsolj.cetus-net.org/bulletin.html"/>
    <hyperlink ref="H2076" r:id="rId14" display="http://vsolj.cetus-net.org/bulletin.html"/>
    <hyperlink ref="AQ65529" r:id="rId15" display="http://cdsbib.u-strasbg.fr/cgi-bin/cdsbib?1990RMxAA..21..381G"/>
    <hyperlink ref="AQ65528" r:id="rId16" display="http://cdsbib.u-strasbg.fr/cgi-bin/cdsbib?1990RMxAA..21..381G"/>
    <hyperlink ref="AP3246" r:id="rId17" display="http://cdsbib.u-strasbg.fr/cgi-bin/cdsbib?1990RMxAA..21..381G"/>
    <hyperlink ref="AP3264" r:id="rId18" display="http://cdsbib.u-strasbg.fr/cgi-bin/cdsbib?1990RMxAA..21..381G"/>
    <hyperlink ref="AP3265" r:id="rId19" display="http://cdsbib.u-strasbg.fr/cgi-bin/cdsbib?1990RMxAA..21..381G"/>
    <hyperlink ref="AP326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9"/>
  <sheetViews>
    <sheetView topLeftCell="A11" workbookViewId="0">
      <selection activeCell="A30" sqref="A30:C34"/>
    </sheetView>
  </sheetViews>
  <sheetFormatPr defaultRowHeight="12.75" x14ac:dyDescent="0.2"/>
  <cols>
    <col min="1" max="1" width="19.7109375" style="10" customWidth="1"/>
    <col min="2" max="2" width="4.42578125" style="18" customWidth="1"/>
    <col min="3" max="3" width="12.7109375" style="10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0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39" t="s">
        <v>52</v>
      </c>
      <c r="I1" s="40" t="s">
        <v>53</v>
      </c>
      <c r="J1" s="41" t="s">
        <v>54</v>
      </c>
    </row>
    <row r="2" spans="1:16" x14ac:dyDescent="0.2">
      <c r="I2" s="42" t="s">
        <v>55</v>
      </c>
      <c r="J2" s="43" t="s">
        <v>56</v>
      </c>
    </row>
    <row r="3" spans="1:16" x14ac:dyDescent="0.2">
      <c r="A3" s="44" t="s">
        <v>57</v>
      </c>
      <c r="I3" s="42" t="s">
        <v>58</v>
      </c>
      <c r="J3" s="43" t="s">
        <v>59</v>
      </c>
    </row>
    <row r="4" spans="1:16" x14ac:dyDescent="0.2">
      <c r="I4" s="42" t="s">
        <v>60</v>
      </c>
      <c r="J4" s="43" t="s">
        <v>59</v>
      </c>
    </row>
    <row r="5" spans="1:16" ht="13.5" thickBot="1" x14ac:dyDescent="0.25">
      <c r="I5" s="45" t="s">
        <v>61</v>
      </c>
      <c r="J5" s="46" t="s">
        <v>62</v>
      </c>
    </row>
    <row r="10" spans="1:16" ht="13.5" thickBot="1" x14ac:dyDescent="0.25"/>
    <row r="11" spans="1:16" ht="12.75" customHeight="1" thickBot="1" x14ac:dyDescent="0.25">
      <c r="A11" s="10" t="str">
        <f t="shared" ref="A11:A34" si="0">P11</f>
        <v>IBVS 5258 </v>
      </c>
      <c r="B11" s="5" t="str">
        <f t="shared" ref="B11:B34" si="1">IF(H11=INT(H11),"I","II")</f>
        <v>II</v>
      </c>
      <c r="C11" s="10">
        <f t="shared" ref="C11:C34" si="2">1*G11</f>
        <v>52309.613400000002</v>
      </c>
      <c r="D11" s="18" t="str">
        <f t="shared" ref="D11:D34" si="3">VLOOKUP(F11,I$1:J$5,2,FALSE)</f>
        <v>vis</v>
      </c>
      <c r="E11" s="47">
        <f>VLOOKUP(C11,Active!C$21:E$973,3,FALSE)</f>
        <v>9323.465751681335</v>
      </c>
      <c r="F11" s="5" t="s">
        <v>61</v>
      </c>
      <c r="G11" s="18" t="str">
        <f t="shared" ref="G11:G34" si="4">MID(I11,3,LEN(I11)-3)</f>
        <v>52309.6134</v>
      </c>
      <c r="H11" s="10">
        <f t="shared" ref="H11:H34" si="5">1*K11</f>
        <v>-466.5</v>
      </c>
      <c r="I11" s="48" t="s">
        <v>63</v>
      </c>
      <c r="J11" s="49" t="s">
        <v>64</v>
      </c>
      <c r="K11" s="48">
        <v>-466.5</v>
      </c>
      <c r="L11" s="48" t="s">
        <v>65</v>
      </c>
      <c r="M11" s="49" t="s">
        <v>66</v>
      </c>
      <c r="N11" s="49" t="s">
        <v>67</v>
      </c>
      <c r="O11" s="50" t="s">
        <v>68</v>
      </c>
      <c r="P11" s="51" t="s">
        <v>69</v>
      </c>
    </row>
    <row r="12" spans="1:16" ht="12.75" customHeight="1" thickBot="1" x14ac:dyDescent="0.25">
      <c r="A12" s="10" t="str">
        <f t="shared" si="0"/>
        <v>IBVS 5258 </v>
      </c>
      <c r="B12" s="5" t="str">
        <f t="shared" si="1"/>
        <v>I</v>
      </c>
      <c r="C12" s="10">
        <f t="shared" si="2"/>
        <v>52320.441899999998</v>
      </c>
      <c r="D12" s="18" t="str">
        <f t="shared" si="3"/>
        <v>vis</v>
      </c>
      <c r="E12" s="47">
        <f>VLOOKUP(C12,Active!C$21:E$973,3,FALSE)</f>
        <v>9349.9669606758525</v>
      </c>
      <c r="F12" s="5" t="s">
        <v>61</v>
      </c>
      <c r="G12" s="18" t="str">
        <f t="shared" si="4"/>
        <v>52320.4419</v>
      </c>
      <c r="H12" s="10">
        <f t="shared" si="5"/>
        <v>-440</v>
      </c>
      <c r="I12" s="48" t="s">
        <v>70</v>
      </c>
      <c r="J12" s="49" t="s">
        <v>71</v>
      </c>
      <c r="K12" s="48">
        <v>-440</v>
      </c>
      <c r="L12" s="48" t="s">
        <v>72</v>
      </c>
      <c r="M12" s="49" t="s">
        <v>66</v>
      </c>
      <c r="N12" s="49" t="s">
        <v>67</v>
      </c>
      <c r="O12" s="50" t="s">
        <v>68</v>
      </c>
      <c r="P12" s="51" t="s">
        <v>69</v>
      </c>
    </row>
    <row r="13" spans="1:16" ht="12.75" customHeight="1" thickBot="1" x14ac:dyDescent="0.25">
      <c r="A13" s="10" t="str">
        <f t="shared" si="0"/>
        <v>IBVS 5258 </v>
      </c>
      <c r="B13" s="5" t="str">
        <f t="shared" si="1"/>
        <v>II</v>
      </c>
      <c r="C13" s="10">
        <f t="shared" si="2"/>
        <v>52321.464699999997</v>
      </c>
      <c r="D13" s="18" t="str">
        <f t="shared" si="3"/>
        <v>vis</v>
      </c>
      <c r="E13" s="47">
        <f>VLOOKUP(C13,Active!C$21:E$973,3,FALSE)</f>
        <v>9352.470117766823</v>
      </c>
      <c r="F13" s="5" t="s">
        <v>61</v>
      </c>
      <c r="G13" s="18" t="str">
        <f t="shared" si="4"/>
        <v>52321.4647</v>
      </c>
      <c r="H13" s="10">
        <f t="shared" si="5"/>
        <v>-437.5</v>
      </c>
      <c r="I13" s="48" t="s">
        <v>73</v>
      </c>
      <c r="J13" s="49" t="s">
        <v>74</v>
      </c>
      <c r="K13" s="48">
        <v>-437.5</v>
      </c>
      <c r="L13" s="48" t="s">
        <v>75</v>
      </c>
      <c r="M13" s="49" t="s">
        <v>66</v>
      </c>
      <c r="N13" s="49" t="s">
        <v>67</v>
      </c>
      <c r="O13" s="50" t="s">
        <v>68</v>
      </c>
      <c r="P13" s="51" t="s">
        <v>69</v>
      </c>
    </row>
    <row r="14" spans="1:16" ht="12.75" customHeight="1" thickBot="1" x14ac:dyDescent="0.25">
      <c r="A14" s="10" t="str">
        <f t="shared" si="0"/>
        <v>IBVS 5623 </v>
      </c>
      <c r="B14" s="5" t="str">
        <f t="shared" si="1"/>
        <v>I</v>
      </c>
      <c r="C14" s="10">
        <f t="shared" si="2"/>
        <v>52704.526100000003</v>
      </c>
      <c r="D14" s="18" t="str">
        <f t="shared" si="3"/>
        <v>vis</v>
      </c>
      <c r="E14" s="47">
        <f>VLOOKUP(C14,Active!C$21:E$973,3,FALSE)</f>
        <v>10289.958248083722</v>
      </c>
      <c r="F14" s="5" t="s">
        <v>61</v>
      </c>
      <c r="G14" s="18" t="str">
        <f t="shared" si="4"/>
        <v>52704.5261</v>
      </c>
      <c r="H14" s="10">
        <f t="shared" si="5"/>
        <v>500</v>
      </c>
      <c r="I14" s="48" t="s">
        <v>76</v>
      </c>
      <c r="J14" s="49" t="s">
        <v>77</v>
      </c>
      <c r="K14" s="48">
        <v>500</v>
      </c>
      <c r="L14" s="48" t="s">
        <v>78</v>
      </c>
      <c r="M14" s="49" t="s">
        <v>66</v>
      </c>
      <c r="N14" s="49" t="s">
        <v>67</v>
      </c>
      <c r="O14" s="50" t="s">
        <v>79</v>
      </c>
      <c r="P14" s="51" t="s">
        <v>80</v>
      </c>
    </row>
    <row r="15" spans="1:16" ht="12.75" customHeight="1" thickBot="1" x14ac:dyDescent="0.25">
      <c r="A15" s="10" t="str">
        <f t="shared" si="0"/>
        <v>IBVS 5603 </v>
      </c>
      <c r="B15" s="5" t="str">
        <f t="shared" si="1"/>
        <v>I</v>
      </c>
      <c r="C15" s="10">
        <f t="shared" si="2"/>
        <v>53008.940699999999</v>
      </c>
      <c r="D15" s="18" t="str">
        <f t="shared" si="3"/>
        <v>vis</v>
      </c>
      <c r="E15" s="47">
        <f>VLOOKUP(C15,Active!C$21:E$973,3,FALSE)</f>
        <v>11034.96955487464</v>
      </c>
      <c r="F15" s="5" t="s">
        <v>61</v>
      </c>
      <c r="G15" s="18" t="str">
        <f t="shared" si="4"/>
        <v>53008.9407</v>
      </c>
      <c r="H15" s="10">
        <f t="shared" si="5"/>
        <v>1245</v>
      </c>
      <c r="I15" s="48" t="s">
        <v>81</v>
      </c>
      <c r="J15" s="49" t="s">
        <v>82</v>
      </c>
      <c r="K15" s="48">
        <v>1245</v>
      </c>
      <c r="L15" s="48" t="s">
        <v>83</v>
      </c>
      <c r="M15" s="49" t="s">
        <v>66</v>
      </c>
      <c r="N15" s="49" t="s">
        <v>67</v>
      </c>
      <c r="O15" s="50" t="s">
        <v>84</v>
      </c>
      <c r="P15" s="51" t="s">
        <v>85</v>
      </c>
    </row>
    <row r="16" spans="1:16" ht="12.75" customHeight="1" thickBot="1" x14ac:dyDescent="0.25">
      <c r="A16" s="10" t="str">
        <f t="shared" si="0"/>
        <v>IBVS 5592 </v>
      </c>
      <c r="B16" s="5" t="str">
        <f t="shared" si="1"/>
        <v>I</v>
      </c>
      <c r="C16" s="10">
        <f t="shared" si="2"/>
        <v>53067.369599999998</v>
      </c>
      <c r="D16" s="18" t="str">
        <f t="shared" si="3"/>
        <v>vis</v>
      </c>
      <c r="E16" s="47">
        <f>VLOOKUP(C16,Active!C$21:E$973,3,FALSE)</f>
        <v>11177.965952364628</v>
      </c>
      <c r="F16" s="5" t="s">
        <v>61</v>
      </c>
      <c r="G16" s="18" t="str">
        <f t="shared" si="4"/>
        <v>53067.3696</v>
      </c>
      <c r="H16" s="10">
        <f t="shared" si="5"/>
        <v>1388</v>
      </c>
      <c r="I16" s="48" t="s">
        <v>86</v>
      </c>
      <c r="J16" s="49" t="s">
        <v>87</v>
      </c>
      <c r="K16" s="48">
        <v>1388</v>
      </c>
      <c r="L16" s="48" t="s">
        <v>88</v>
      </c>
      <c r="M16" s="49" t="s">
        <v>66</v>
      </c>
      <c r="N16" s="49" t="s">
        <v>67</v>
      </c>
      <c r="O16" s="50" t="s">
        <v>89</v>
      </c>
      <c r="P16" s="51" t="s">
        <v>90</v>
      </c>
    </row>
    <row r="17" spans="1:16" ht="12.75" customHeight="1" thickBot="1" x14ac:dyDescent="0.25">
      <c r="A17" s="10" t="str">
        <f t="shared" si="0"/>
        <v>IBVS 5623 </v>
      </c>
      <c r="B17" s="5" t="str">
        <f t="shared" si="1"/>
        <v>I</v>
      </c>
      <c r="C17" s="10">
        <f t="shared" si="2"/>
        <v>53431.436699999998</v>
      </c>
      <c r="D17" s="18" t="str">
        <f t="shared" si="3"/>
        <v>vis</v>
      </c>
      <c r="E17" s="47">
        <f>VLOOKUP(C17,Active!C$21:E$973,3,FALSE)</f>
        <v>12068.968243091102</v>
      </c>
      <c r="F17" s="5" t="s">
        <v>61</v>
      </c>
      <c r="G17" s="18" t="str">
        <f t="shared" si="4"/>
        <v>53431.4367</v>
      </c>
      <c r="H17" s="10">
        <f t="shared" si="5"/>
        <v>2279</v>
      </c>
      <c r="I17" s="48" t="s">
        <v>91</v>
      </c>
      <c r="J17" s="49" t="s">
        <v>92</v>
      </c>
      <c r="K17" s="48">
        <v>2279</v>
      </c>
      <c r="L17" s="48" t="s">
        <v>93</v>
      </c>
      <c r="M17" s="49" t="s">
        <v>66</v>
      </c>
      <c r="N17" s="49" t="s">
        <v>67</v>
      </c>
      <c r="O17" s="50" t="s">
        <v>79</v>
      </c>
      <c r="P17" s="51" t="s">
        <v>80</v>
      </c>
    </row>
    <row r="18" spans="1:16" ht="12.75" customHeight="1" thickBot="1" x14ac:dyDescent="0.25">
      <c r="A18" s="10" t="str">
        <f t="shared" si="0"/>
        <v>IBVS 5623 </v>
      </c>
      <c r="B18" s="5" t="str">
        <f t="shared" si="1"/>
        <v>II</v>
      </c>
      <c r="C18" s="10">
        <f t="shared" si="2"/>
        <v>53431.64</v>
      </c>
      <c r="D18" s="18" t="str">
        <f t="shared" si="3"/>
        <v>vis</v>
      </c>
      <c r="E18" s="47">
        <f>VLOOKUP(C18,Active!C$21:E$973,3,FALSE)</f>
        <v>12069.465790839045</v>
      </c>
      <c r="F18" s="5" t="s">
        <v>61</v>
      </c>
      <c r="G18" s="18" t="str">
        <f t="shared" si="4"/>
        <v>53431.6400</v>
      </c>
      <c r="H18" s="10">
        <f t="shared" si="5"/>
        <v>2279.5</v>
      </c>
      <c r="I18" s="48" t="s">
        <v>94</v>
      </c>
      <c r="J18" s="49" t="s">
        <v>95</v>
      </c>
      <c r="K18" s="48">
        <v>2279.5</v>
      </c>
      <c r="L18" s="48" t="s">
        <v>96</v>
      </c>
      <c r="M18" s="49" t="s">
        <v>66</v>
      </c>
      <c r="N18" s="49" t="s">
        <v>67</v>
      </c>
      <c r="O18" s="50" t="s">
        <v>79</v>
      </c>
      <c r="P18" s="51" t="s">
        <v>80</v>
      </c>
    </row>
    <row r="19" spans="1:16" ht="12.75" customHeight="1" thickBot="1" x14ac:dyDescent="0.25">
      <c r="A19" s="10" t="str">
        <f t="shared" si="0"/>
        <v>IBVS 5623 </v>
      </c>
      <c r="B19" s="5" t="str">
        <f t="shared" si="1"/>
        <v>II</v>
      </c>
      <c r="C19" s="10">
        <f t="shared" si="2"/>
        <v>53432.456899999997</v>
      </c>
      <c r="D19" s="18" t="str">
        <f t="shared" si="3"/>
        <v>vis</v>
      </c>
      <c r="E19" s="47">
        <f>VLOOKUP(C19,Active!C$21:E$973,3,FALSE)</f>
        <v>12071.46503705298</v>
      </c>
      <c r="F19" s="5" t="s">
        <v>61</v>
      </c>
      <c r="G19" s="18" t="str">
        <f t="shared" si="4"/>
        <v>53432.4569</v>
      </c>
      <c r="H19" s="10">
        <f t="shared" si="5"/>
        <v>2281.5</v>
      </c>
      <c r="I19" s="48" t="s">
        <v>97</v>
      </c>
      <c r="J19" s="49" t="s">
        <v>98</v>
      </c>
      <c r="K19" s="48">
        <v>2281.5</v>
      </c>
      <c r="L19" s="48" t="s">
        <v>99</v>
      </c>
      <c r="M19" s="49" t="s">
        <v>66</v>
      </c>
      <c r="N19" s="49" t="s">
        <v>67</v>
      </c>
      <c r="O19" s="50" t="s">
        <v>79</v>
      </c>
      <c r="P19" s="51" t="s">
        <v>80</v>
      </c>
    </row>
    <row r="20" spans="1:16" ht="12.75" customHeight="1" thickBot="1" x14ac:dyDescent="0.25">
      <c r="A20" s="10" t="str">
        <f t="shared" si="0"/>
        <v>IBVS 5623 </v>
      </c>
      <c r="B20" s="5" t="str">
        <f t="shared" si="1"/>
        <v>I</v>
      </c>
      <c r="C20" s="10">
        <f t="shared" si="2"/>
        <v>53433.479899999998</v>
      </c>
      <c r="D20" s="18" t="str">
        <f t="shared" si="3"/>
        <v>vis</v>
      </c>
      <c r="E20" s="47">
        <f>VLOOKUP(C20,Active!C$21:E$973,3,FALSE)</f>
        <v>12073.968683615423</v>
      </c>
      <c r="F20" s="5" t="s">
        <v>61</v>
      </c>
      <c r="G20" s="18" t="str">
        <f t="shared" si="4"/>
        <v>53433.4799</v>
      </c>
      <c r="H20" s="10">
        <f t="shared" si="5"/>
        <v>2284</v>
      </c>
      <c r="I20" s="48" t="s">
        <v>100</v>
      </c>
      <c r="J20" s="49" t="s">
        <v>101</v>
      </c>
      <c r="K20" s="48">
        <v>2284</v>
      </c>
      <c r="L20" s="48" t="s">
        <v>102</v>
      </c>
      <c r="M20" s="49" t="s">
        <v>66</v>
      </c>
      <c r="N20" s="49" t="s">
        <v>67</v>
      </c>
      <c r="O20" s="50" t="s">
        <v>79</v>
      </c>
      <c r="P20" s="51" t="s">
        <v>80</v>
      </c>
    </row>
    <row r="21" spans="1:16" ht="12.75" customHeight="1" thickBot="1" x14ac:dyDescent="0.25">
      <c r="A21" s="10" t="str">
        <f t="shared" si="0"/>
        <v>BAVM 173 </v>
      </c>
      <c r="B21" s="5" t="str">
        <f t="shared" si="1"/>
        <v>I</v>
      </c>
      <c r="C21" s="10">
        <f t="shared" si="2"/>
        <v>53453.499300000003</v>
      </c>
      <c r="D21" s="18" t="str">
        <f t="shared" si="3"/>
        <v>vis</v>
      </c>
      <c r="E21" s="47">
        <f>VLOOKUP(C21,Active!C$21:E$973,3,FALSE)</f>
        <v>12122.963309218709</v>
      </c>
      <c r="F21" s="5" t="s">
        <v>61</v>
      </c>
      <c r="G21" s="18" t="str">
        <f t="shared" si="4"/>
        <v>53453.4993</v>
      </c>
      <c r="H21" s="10">
        <f t="shared" si="5"/>
        <v>2333</v>
      </c>
      <c r="I21" s="48" t="s">
        <v>103</v>
      </c>
      <c r="J21" s="49" t="s">
        <v>104</v>
      </c>
      <c r="K21" s="48">
        <v>2333</v>
      </c>
      <c r="L21" s="48" t="s">
        <v>105</v>
      </c>
      <c r="M21" s="49" t="s">
        <v>66</v>
      </c>
      <c r="N21" s="49" t="s">
        <v>106</v>
      </c>
      <c r="O21" s="50" t="s">
        <v>107</v>
      </c>
      <c r="P21" s="51" t="s">
        <v>108</v>
      </c>
    </row>
    <row r="22" spans="1:16" ht="12.75" customHeight="1" thickBot="1" x14ac:dyDescent="0.25">
      <c r="A22" s="10" t="str">
        <f t="shared" si="0"/>
        <v>BAVM 173 </v>
      </c>
      <c r="B22" s="5" t="str">
        <f t="shared" si="1"/>
        <v>I</v>
      </c>
      <c r="C22" s="10">
        <f t="shared" si="2"/>
        <v>53476.386299999998</v>
      </c>
      <c r="D22" s="18" t="str">
        <f t="shared" si="3"/>
        <v>vis</v>
      </c>
      <c r="E22" s="47">
        <f>VLOOKUP(C22,Active!C$21:E$973,3,FALSE)</f>
        <v>12178.975976740307</v>
      </c>
      <c r="F22" s="5" t="s">
        <v>61</v>
      </c>
      <c r="G22" s="18" t="str">
        <f t="shared" si="4"/>
        <v>53476.3863</v>
      </c>
      <c r="H22" s="10">
        <f t="shared" si="5"/>
        <v>2389</v>
      </c>
      <c r="I22" s="48" t="s">
        <v>117</v>
      </c>
      <c r="J22" s="49" t="s">
        <v>118</v>
      </c>
      <c r="K22" s="48">
        <v>2389</v>
      </c>
      <c r="L22" s="48" t="s">
        <v>119</v>
      </c>
      <c r="M22" s="49" t="s">
        <v>66</v>
      </c>
      <c r="N22" s="49" t="s">
        <v>61</v>
      </c>
      <c r="O22" s="50" t="s">
        <v>120</v>
      </c>
      <c r="P22" s="51" t="s">
        <v>108</v>
      </c>
    </row>
    <row r="23" spans="1:16" ht="12.75" customHeight="1" thickBot="1" x14ac:dyDescent="0.25">
      <c r="A23" s="10" t="str">
        <f t="shared" si="0"/>
        <v> JAAVSO 41;122 </v>
      </c>
      <c r="B23" s="5" t="str">
        <f t="shared" si="1"/>
        <v>I</v>
      </c>
      <c r="C23" s="10">
        <f t="shared" si="2"/>
        <v>53823.694199999998</v>
      </c>
      <c r="D23" s="18" t="str">
        <f t="shared" si="3"/>
        <v>vis</v>
      </c>
      <c r="E23" s="47">
        <f>VLOOKUP(C23,Active!C$21:E$973,3,FALSE)</f>
        <v>13028.962516274916</v>
      </c>
      <c r="F23" s="5" t="s">
        <v>61</v>
      </c>
      <c r="G23" s="18" t="str">
        <f t="shared" si="4"/>
        <v>53823.6942</v>
      </c>
      <c r="H23" s="10">
        <f t="shared" si="5"/>
        <v>3239</v>
      </c>
      <c r="I23" s="48" t="s">
        <v>126</v>
      </c>
      <c r="J23" s="49" t="s">
        <v>127</v>
      </c>
      <c r="K23" s="48">
        <v>3239</v>
      </c>
      <c r="L23" s="48" t="s">
        <v>128</v>
      </c>
      <c r="M23" s="49" t="s">
        <v>129</v>
      </c>
      <c r="N23" s="49" t="s">
        <v>130</v>
      </c>
      <c r="O23" s="50" t="s">
        <v>131</v>
      </c>
      <c r="P23" s="50" t="s">
        <v>132</v>
      </c>
    </row>
    <row r="24" spans="1:16" ht="12.75" customHeight="1" thickBot="1" x14ac:dyDescent="0.25">
      <c r="A24" s="10" t="str">
        <f t="shared" si="0"/>
        <v>BAVM 186 </v>
      </c>
      <c r="B24" s="5" t="str">
        <f t="shared" si="1"/>
        <v>I</v>
      </c>
      <c r="C24" s="10">
        <f t="shared" si="2"/>
        <v>54209.421900000001</v>
      </c>
      <c r="D24" s="18" t="str">
        <f t="shared" si="3"/>
        <v>vis</v>
      </c>
      <c r="E24" s="47">
        <f>VLOOKUP(C24,Active!C$21:E$973,3,FALSE)</f>
        <v>13972.97603547689</v>
      </c>
      <c r="F24" s="5" t="s">
        <v>61</v>
      </c>
      <c r="G24" s="18" t="str">
        <f t="shared" si="4"/>
        <v>54209.4219</v>
      </c>
      <c r="H24" s="10">
        <f t="shared" si="5"/>
        <v>4183</v>
      </c>
      <c r="I24" s="48" t="s">
        <v>133</v>
      </c>
      <c r="J24" s="49" t="s">
        <v>134</v>
      </c>
      <c r="K24" s="48">
        <v>4183</v>
      </c>
      <c r="L24" s="48" t="s">
        <v>135</v>
      </c>
      <c r="M24" s="49" t="s">
        <v>129</v>
      </c>
      <c r="N24" s="49" t="s">
        <v>106</v>
      </c>
      <c r="O24" s="50" t="s">
        <v>136</v>
      </c>
      <c r="P24" s="51" t="s">
        <v>137</v>
      </c>
    </row>
    <row r="25" spans="1:16" ht="12.75" customHeight="1" thickBot="1" x14ac:dyDescent="0.25">
      <c r="A25" s="10" t="str">
        <f t="shared" si="0"/>
        <v>IBVS 5898 </v>
      </c>
      <c r="B25" s="5" t="str">
        <f t="shared" si="1"/>
        <v>I</v>
      </c>
      <c r="C25" s="10">
        <f t="shared" si="2"/>
        <v>54506.481599999999</v>
      </c>
      <c r="D25" s="18" t="str">
        <f t="shared" si="3"/>
        <v>vis</v>
      </c>
      <c r="E25" s="47">
        <f>VLOOKUP(C25,Active!C$21:E$973,3,FALSE)</f>
        <v>14699.987273741806</v>
      </c>
      <c r="F25" s="5" t="s">
        <v>61</v>
      </c>
      <c r="G25" s="18" t="str">
        <f t="shared" si="4"/>
        <v>54506.4816</v>
      </c>
      <c r="H25" s="10">
        <f t="shared" si="5"/>
        <v>4910</v>
      </c>
      <c r="I25" s="48" t="s">
        <v>138</v>
      </c>
      <c r="J25" s="49" t="s">
        <v>139</v>
      </c>
      <c r="K25" s="48">
        <v>4910</v>
      </c>
      <c r="L25" s="48" t="s">
        <v>140</v>
      </c>
      <c r="M25" s="49" t="s">
        <v>129</v>
      </c>
      <c r="N25" s="49" t="s">
        <v>106</v>
      </c>
      <c r="O25" s="50" t="s">
        <v>141</v>
      </c>
      <c r="P25" s="51" t="s">
        <v>142</v>
      </c>
    </row>
    <row r="26" spans="1:16" ht="12.75" customHeight="1" thickBot="1" x14ac:dyDescent="0.25">
      <c r="A26" s="10" t="str">
        <f t="shared" si="0"/>
        <v>OEJV 0160 </v>
      </c>
      <c r="B26" s="5" t="str">
        <f t="shared" si="1"/>
        <v>I</v>
      </c>
      <c r="C26" s="10">
        <f t="shared" si="2"/>
        <v>55621.562400000003</v>
      </c>
      <c r="D26" s="18" t="str">
        <f t="shared" si="3"/>
        <v>vis</v>
      </c>
      <c r="E26" s="47">
        <f>VLOOKUP(C26,Active!C$21:E$973,3,FALSE)</f>
        <v>17428.988458262767</v>
      </c>
      <c r="F26" s="5" t="s">
        <v>61</v>
      </c>
      <c r="G26" s="18" t="str">
        <f t="shared" si="4"/>
        <v>55621.5624</v>
      </c>
      <c r="H26" s="10">
        <f t="shared" si="5"/>
        <v>7639</v>
      </c>
      <c r="I26" s="48" t="s">
        <v>149</v>
      </c>
      <c r="J26" s="49" t="s">
        <v>150</v>
      </c>
      <c r="K26" s="48">
        <v>7639</v>
      </c>
      <c r="L26" s="48" t="s">
        <v>151</v>
      </c>
      <c r="M26" s="49" t="s">
        <v>129</v>
      </c>
      <c r="N26" s="49" t="s">
        <v>146</v>
      </c>
      <c r="O26" s="50" t="s">
        <v>152</v>
      </c>
      <c r="P26" s="51" t="s">
        <v>153</v>
      </c>
    </row>
    <row r="27" spans="1:16" ht="12.75" customHeight="1" thickBot="1" x14ac:dyDescent="0.25">
      <c r="A27" s="10" t="str">
        <f t="shared" si="0"/>
        <v>BAVM 220 </v>
      </c>
      <c r="B27" s="5" t="str">
        <f t="shared" si="1"/>
        <v>I</v>
      </c>
      <c r="C27" s="10">
        <f t="shared" si="2"/>
        <v>55671.4107</v>
      </c>
      <c r="D27" s="18" t="str">
        <f t="shared" si="3"/>
        <v>vis</v>
      </c>
      <c r="E27" s="47">
        <f>VLOOKUP(C27,Active!C$21:E$973,3,FALSE)</f>
        <v>17550.985061330772</v>
      </c>
      <c r="F27" s="5" t="s">
        <v>61</v>
      </c>
      <c r="G27" s="18" t="str">
        <f t="shared" si="4"/>
        <v>55671.4107</v>
      </c>
      <c r="H27" s="10">
        <f t="shared" si="5"/>
        <v>7761</v>
      </c>
      <c r="I27" s="48" t="s">
        <v>154</v>
      </c>
      <c r="J27" s="49" t="s">
        <v>155</v>
      </c>
      <c r="K27" s="48">
        <v>7761</v>
      </c>
      <c r="L27" s="48" t="s">
        <v>156</v>
      </c>
      <c r="M27" s="49" t="s">
        <v>129</v>
      </c>
      <c r="N27" s="49" t="s">
        <v>106</v>
      </c>
      <c r="O27" s="50" t="s">
        <v>136</v>
      </c>
      <c r="P27" s="51" t="s">
        <v>157</v>
      </c>
    </row>
    <row r="28" spans="1:16" ht="12.75" customHeight="1" thickBot="1" x14ac:dyDescent="0.25">
      <c r="A28" s="10" t="str">
        <f t="shared" si="0"/>
        <v> JAAVSO 41;328 </v>
      </c>
      <c r="B28" s="5" t="str">
        <f t="shared" si="1"/>
        <v>II</v>
      </c>
      <c r="C28" s="10">
        <f t="shared" si="2"/>
        <v>56354.3966</v>
      </c>
      <c r="D28" s="18" t="str">
        <f t="shared" si="3"/>
        <v>vis</v>
      </c>
      <c r="E28" s="47">
        <f>VLOOKUP(C28,Active!C$21:E$973,3,FALSE)</f>
        <v>19222.495619230351</v>
      </c>
      <c r="F28" s="5" t="s">
        <v>61</v>
      </c>
      <c r="G28" s="18" t="str">
        <f t="shared" si="4"/>
        <v>56354.3966</v>
      </c>
      <c r="H28" s="10">
        <f t="shared" si="5"/>
        <v>9432.5</v>
      </c>
      <c r="I28" s="48" t="s">
        <v>162</v>
      </c>
      <c r="J28" s="49" t="s">
        <v>163</v>
      </c>
      <c r="K28" s="48">
        <v>9432.5</v>
      </c>
      <c r="L28" s="48" t="s">
        <v>164</v>
      </c>
      <c r="M28" s="49" t="s">
        <v>129</v>
      </c>
      <c r="N28" s="49" t="s">
        <v>146</v>
      </c>
      <c r="O28" s="50" t="s">
        <v>165</v>
      </c>
      <c r="P28" s="50" t="s">
        <v>166</v>
      </c>
    </row>
    <row r="29" spans="1:16" ht="12.75" customHeight="1" thickBot="1" x14ac:dyDescent="0.25">
      <c r="A29" s="10" t="str">
        <f t="shared" si="0"/>
        <v>BAVM 232 </v>
      </c>
      <c r="B29" s="5" t="str">
        <f t="shared" si="1"/>
        <v>II</v>
      </c>
      <c r="C29" s="10">
        <f t="shared" si="2"/>
        <v>56398.532399999996</v>
      </c>
      <c r="D29" s="18" t="str">
        <f t="shared" si="3"/>
        <v>vis</v>
      </c>
      <c r="E29" s="47">
        <f>VLOOKUP(C29,Active!C$21:E$973,3,FALSE)</f>
        <v>19330.511693473374</v>
      </c>
      <c r="F29" s="5" t="s">
        <v>61</v>
      </c>
      <c r="G29" s="18" t="str">
        <f t="shared" si="4"/>
        <v>56398.5324</v>
      </c>
      <c r="H29" s="10">
        <f t="shared" si="5"/>
        <v>9540.5</v>
      </c>
      <c r="I29" s="48" t="s">
        <v>167</v>
      </c>
      <c r="J29" s="49" t="s">
        <v>168</v>
      </c>
      <c r="K29" s="48">
        <v>9540.5</v>
      </c>
      <c r="L29" s="48" t="s">
        <v>169</v>
      </c>
      <c r="M29" s="49" t="s">
        <v>129</v>
      </c>
      <c r="N29" s="49" t="s">
        <v>170</v>
      </c>
      <c r="O29" s="50" t="s">
        <v>120</v>
      </c>
      <c r="P29" s="51" t="s">
        <v>171</v>
      </c>
    </row>
    <row r="30" spans="1:16" ht="12.75" customHeight="1" thickBot="1" x14ac:dyDescent="0.25">
      <c r="A30" s="10" t="str">
        <f t="shared" si="0"/>
        <v>VSB 44 </v>
      </c>
      <c r="B30" s="5" t="str">
        <f t="shared" si="1"/>
        <v>I</v>
      </c>
      <c r="C30" s="10">
        <f t="shared" si="2"/>
        <v>53464.940699999999</v>
      </c>
      <c r="D30" s="18" t="str">
        <f t="shared" si="3"/>
        <v>vis</v>
      </c>
      <c r="E30" s="47">
        <f>VLOOKUP(C30,Active!C$21:E$973,3,FALSE)</f>
        <v>12150.964503529083</v>
      </c>
      <c r="F30" s="5" t="s">
        <v>61</v>
      </c>
      <c r="G30" s="18" t="str">
        <f t="shared" si="4"/>
        <v>53464.9407</v>
      </c>
      <c r="H30" s="10">
        <f t="shared" si="5"/>
        <v>2361</v>
      </c>
      <c r="I30" s="48" t="s">
        <v>109</v>
      </c>
      <c r="J30" s="49" t="s">
        <v>110</v>
      </c>
      <c r="K30" s="48">
        <v>2361</v>
      </c>
      <c r="L30" s="48" t="s">
        <v>111</v>
      </c>
      <c r="M30" s="49" t="s">
        <v>66</v>
      </c>
      <c r="N30" s="49" t="s">
        <v>67</v>
      </c>
      <c r="O30" s="50" t="s">
        <v>112</v>
      </c>
      <c r="P30" s="51" t="s">
        <v>113</v>
      </c>
    </row>
    <row r="31" spans="1:16" ht="12.75" customHeight="1" thickBot="1" x14ac:dyDescent="0.25">
      <c r="A31" s="10" t="str">
        <f t="shared" si="0"/>
        <v>VSB 44 </v>
      </c>
      <c r="B31" s="5" t="str">
        <f t="shared" si="1"/>
        <v>II</v>
      </c>
      <c r="C31" s="10">
        <f t="shared" si="2"/>
        <v>53465.148699999998</v>
      </c>
      <c r="D31" s="18" t="str">
        <f t="shared" si="3"/>
        <v>vis</v>
      </c>
      <c r="E31" s="47">
        <f>VLOOKUP(C31,Active!C$21:E$973,3,FALSE)</f>
        <v>12151.473553856536</v>
      </c>
      <c r="F31" s="5" t="s">
        <v>61</v>
      </c>
      <c r="G31" s="18" t="str">
        <f t="shared" si="4"/>
        <v>53465.1487</v>
      </c>
      <c r="H31" s="10">
        <f t="shared" si="5"/>
        <v>2361.5</v>
      </c>
      <c r="I31" s="48" t="s">
        <v>114</v>
      </c>
      <c r="J31" s="49" t="s">
        <v>115</v>
      </c>
      <c r="K31" s="48">
        <v>2361.5</v>
      </c>
      <c r="L31" s="48" t="s">
        <v>116</v>
      </c>
      <c r="M31" s="49" t="s">
        <v>66</v>
      </c>
      <c r="N31" s="49" t="s">
        <v>67</v>
      </c>
      <c r="O31" s="50" t="s">
        <v>112</v>
      </c>
      <c r="P31" s="51" t="s">
        <v>113</v>
      </c>
    </row>
    <row r="32" spans="1:16" ht="12.75" customHeight="1" thickBot="1" x14ac:dyDescent="0.25">
      <c r="A32" s="10" t="str">
        <f t="shared" si="0"/>
        <v>VSB 45 </v>
      </c>
      <c r="B32" s="5" t="str">
        <f t="shared" si="1"/>
        <v>I</v>
      </c>
      <c r="C32" s="10">
        <f t="shared" si="2"/>
        <v>53812.2477</v>
      </c>
      <c r="D32" s="18" t="str">
        <f t="shared" si="3"/>
        <v>vis</v>
      </c>
      <c r="E32" s="47">
        <f>VLOOKUP(C32,Active!C$21:E$973,3,FALSE)</f>
        <v>13000.948840442086</v>
      </c>
      <c r="F32" s="5" t="s">
        <v>61</v>
      </c>
      <c r="G32" s="18" t="str">
        <f t="shared" si="4"/>
        <v>53812.2477</v>
      </c>
      <c r="H32" s="10">
        <f t="shared" si="5"/>
        <v>3211</v>
      </c>
      <c r="I32" s="48" t="s">
        <v>121</v>
      </c>
      <c r="J32" s="49" t="s">
        <v>122</v>
      </c>
      <c r="K32" s="48">
        <v>3211</v>
      </c>
      <c r="L32" s="48" t="s">
        <v>123</v>
      </c>
      <c r="M32" s="49" t="s">
        <v>66</v>
      </c>
      <c r="N32" s="49" t="s">
        <v>67</v>
      </c>
      <c r="O32" s="50" t="s">
        <v>124</v>
      </c>
      <c r="P32" s="51" t="s">
        <v>125</v>
      </c>
    </row>
    <row r="33" spans="1:16" ht="12.75" customHeight="1" thickBot="1" x14ac:dyDescent="0.25">
      <c r="A33" s="10" t="str">
        <f t="shared" si="0"/>
        <v>OEJV 0094 </v>
      </c>
      <c r="B33" s="5" t="str">
        <f t="shared" si="1"/>
        <v>II</v>
      </c>
      <c r="C33" s="10">
        <f t="shared" si="2"/>
        <v>54557.344799999999</v>
      </c>
      <c r="D33" s="18" t="str">
        <f t="shared" si="3"/>
        <v>vis</v>
      </c>
      <c r="E33" s="47">
        <f>VLOOKUP(C33,Active!C$21:E$973,3,FALSE)</f>
        <v>14824.467699777773</v>
      </c>
      <c r="F33" s="5" t="s">
        <v>61</v>
      </c>
      <c r="G33" s="18" t="str">
        <f t="shared" si="4"/>
        <v>54557.3448</v>
      </c>
      <c r="H33" s="10">
        <f t="shared" si="5"/>
        <v>5034.5</v>
      </c>
      <c r="I33" s="48" t="s">
        <v>143</v>
      </c>
      <c r="J33" s="49" t="s">
        <v>144</v>
      </c>
      <c r="K33" s="48">
        <v>5034.5</v>
      </c>
      <c r="L33" s="48" t="s">
        <v>145</v>
      </c>
      <c r="M33" s="49" t="s">
        <v>129</v>
      </c>
      <c r="N33" s="49" t="s">
        <v>146</v>
      </c>
      <c r="O33" s="50" t="s">
        <v>147</v>
      </c>
      <c r="P33" s="51" t="s">
        <v>148</v>
      </c>
    </row>
    <row r="34" spans="1:16" ht="12.75" customHeight="1" thickBot="1" x14ac:dyDescent="0.25">
      <c r="A34" s="10" t="str">
        <f t="shared" si="0"/>
        <v>IBVS 6044 </v>
      </c>
      <c r="B34" s="5" t="str">
        <f t="shared" si="1"/>
        <v>I</v>
      </c>
      <c r="C34" s="10">
        <f t="shared" si="2"/>
        <v>56011.375899999999</v>
      </c>
      <c r="D34" s="18" t="str">
        <f t="shared" si="3"/>
        <v>vis</v>
      </c>
      <c r="E34" s="47">
        <f>VLOOKUP(C34,Active!C$21:E$973,3,FALSE)</f>
        <v>18383.001390098965</v>
      </c>
      <c r="F34" s="5" t="s">
        <v>61</v>
      </c>
      <c r="G34" s="18" t="str">
        <f t="shared" si="4"/>
        <v>56011.3759</v>
      </c>
      <c r="H34" s="10">
        <f t="shared" si="5"/>
        <v>8593</v>
      </c>
      <c r="I34" s="48" t="s">
        <v>158</v>
      </c>
      <c r="J34" s="49" t="s">
        <v>159</v>
      </c>
      <c r="K34" s="48">
        <v>8593</v>
      </c>
      <c r="L34" s="48" t="s">
        <v>160</v>
      </c>
      <c r="M34" s="49" t="s">
        <v>129</v>
      </c>
      <c r="N34" s="49" t="s">
        <v>61</v>
      </c>
      <c r="O34" s="50" t="s">
        <v>141</v>
      </c>
      <c r="P34" s="51" t="s">
        <v>161</v>
      </c>
    </row>
    <row r="35" spans="1:16" x14ac:dyDescent="0.2">
      <c r="B35" s="5"/>
      <c r="E35" s="47"/>
      <c r="F35" s="5"/>
    </row>
    <row r="36" spans="1:16" x14ac:dyDescent="0.2">
      <c r="B36" s="5"/>
      <c r="E36" s="47"/>
      <c r="F36" s="5"/>
    </row>
    <row r="37" spans="1:16" x14ac:dyDescent="0.2">
      <c r="B37" s="5"/>
      <c r="E37" s="47"/>
      <c r="F37" s="5"/>
    </row>
    <row r="38" spans="1:16" x14ac:dyDescent="0.2">
      <c r="B38" s="5"/>
      <c r="E38" s="47"/>
      <c r="F38" s="5"/>
    </row>
    <row r="39" spans="1:16" x14ac:dyDescent="0.2">
      <c r="B39" s="5"/>
      <c r="E39" s="47"/>
      <c r="F39" s="5"/>
    </row>
    <row r="40" spans="1:16" x14ac:dyDescent="0.2">
      <c r="B40" s="5"/>
      <c r="E40" s="47"/>
      <c r="F40" s="5"/>
    </row>
    <row r="41" spans="1:16" x14ac:dyDescent="0.2">
      <c r="B41" s="5"/>
      <c r="E41" s="47"/>
      <c r="F41" s="5"/>
    </row>
    <row r="42" spans="1:16" x14ac:dyDescent="0.2">
      <c r="B42" s="5"/>
      <c r="E42" s="47"/>
      <c r="F42" s="5"/>
    </row>
    <row r="43" spans="1:16" x14ac:dyDescent="0.2">
      <c r="B43" s="5"/>
      <c r="E43" s="47"/>
      <c r="F43" s="5"/>
    </row>
    <row r="44" spans="1:16" x14ac:dyDescent="0.2">
      <c r="B44" s="5"/>
      <c r="E44" s="47"/>
      <c r="F44" s="5"/>
    </row>
    <row r="45" spans="1:16" x14ac:dyDescent="0.2">
      <c r="B45" s="5"/>
      <c r="E45" s="47"/>
      <c r="F45" s="5"/>
    </row>
    <row r="46" spans="1:16" x14ac:dyDescent="0.2">
      <c r="B46" s="5"/>
      <c r="E46" s="47"/>
      <c r="F46" s="5"/>
    </row>
    <row r="47" spans="1:16" x14ac:dyDescent="0.2">
      <c r="B47" s="5"/>
      <c r="E47" s="47"/>
      <c r="F47" s="5"/>
    </row>
    <row r="48" spans="1:16" x14ac:dyDescent="0.2">
      <c r="B48" s="5"/>
      <c r="E48" s="47"/>
      <c r="F48" s="5"/>
    </row>
    <row r="49" spans="2:6" x14ac:dyDescent="0.2">
      <c r="B49" s="5"/>
      <c r="E49" s="47"/>
      <c r="F49" s="5"/>
    </row>
    <row r="50" spans="2:6" x14ac:dyDescent="0.2">
      <c r="B50" s="5"/>
      <c r="E50" s="47"/>
      <c r="F50" s="5"/>
    </row>
    <row r="51" spans="2:6" x14ac:dyDescent="0.2">
      <c r="B51" s="5"/>
      <c r="E51" s="47"/>
      <c r="F51" s="5"/>
    </row>
    <row r="52" spans="2:6" x14ac:dyDescent="0.2">
      <c r="B52" s="5"/>
      <c r="E52" s="47"/>
      <c r="F52" s="5"/>
    </row>
    <row r="53" spans="2:6" x14ac:dyDescent="0.2">
      <c r="B53" s="5"/>
      <c r="E53" s="47"/>
      <c r="F53" s="5"/>
    </row>
    <row r="54" spans="2:6" x14ac:dyDescent="0.2">
      <c r="B54" s="5"/>
      <c r="E54" s="47"/>
      <c r="F54" s="5"/>
    </row>
    <row r="55" spans="2:6" x14ac:dyDescent="0.2">
      <c r="B55" s="5"/>
      <c r="E55" s="47"/>
      <c r="F55" s="5"/>
    </row>
    <row r="56" spans="2:6" x14ac:dyDescent="0.2">
      <c r="B56" s="5"/>
      <c r="E56" s="47"/>
      <c r="F56" s="5"/>
    </row>
    <row r="57" spans="2:6" x14ac:dyDescent="0.2">
      <c r="B57" s="5"/>
      <c r="E57" s="47"/>
      <c r="F57" s="5"/>
    </row>
    <row r="58" spans="2:6" x14ac:dyDescent="0.2">
      <c r="B58" s="5"/>
      <c r="E58" s="47"/>
      <c r="F58" s="5"/>
    </row>
    <row r="59" spans="2:6" x14ac:dyDescent="0.2">
      <c r="B59" s="5"/>
      <c r="E59" s="47"/>
      <c r="F59" s="5"/>
    </row>
    <row r="60" spans="2:6" x14ac:dyDescent="0.2">
      <c r="B60" s="5"/>
      <c r="E60" s="47"/>
      <c r="F60" s="5"/>
    </row>
    <row r="61" spans="2:6" x14ac:dyDescent="0.2">
      <c r="B61" s="5"/>
      <c r="E61" s="47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</sheetData>
  <phoneticPr fontId="8" type="noConversion"/>
  <hyperlinks>
    <hyperlink ref="P11" r:id="rId1" display="http://www.konkoly.hu/cgi-bin/IBVS?5258"/>
    <hyperlink ref="P12" r:id="rId2" display="http://www.konkoly.hu/cgi-bin/IBVS?5258"/>
    <hyperlink ref="P13" r:id="rId3" display="http://www.konkoly.hu/cgi-bin/IBVS?5258"/>
    <hyperlink ref="P14" r:id="rId4" display="http://www.konkoly.hu/cgi-bin/IBVS?5623"/>
    <hyperlink ref="P15" r:id="rId5" display="http://www.konkoly.hu/cgi-bin/IBVS?5603"/>
    <hyperlink ref="P16" r:id="rId6" display="http://www.konkoly.hu/cgi-bin/IBVS?5592"/>
    <hyperlink ref="P17" r:id="rId7" display="http://www.konkoly.hu/cgi-bin/IBVS?5623"/>
    <hyperlink ref="P18" r:id="rId8" display="http://www.konkoly.hu/cgi-bin/IBVS?5623"/>
    <hyperlink ref="P19" r:id="rId9" display="http://www.konkoly.hu/cgi-bin/IBVS?5623"/>
    <hyperlink ref="P20" r:id="rId10" display="http://www.konkoly.hu/cgi-bin/IBVS?5623"/>
    <hyperlink ref="P21" r:id="rId11" display="http://www.bav-astro.de/sfs/BAVM_link.php?BAVMnr=173"/>
    <hyperlink ref="P30" r:id="rId12" display="http://vsolj.cetus-net.org/no44.pdf"/>
    <hyperlink ref="P31" r:id="rId13" display="http://vsolj.cetus-net.org/no44.pdf"/>
    <hyperlink ref="P22" r:id="rId14" display="http://www.bav-astro.de/sfs/BAVM_link.php?BAVMnr=173"/>
    <hyperlink ref="P32" r:id="rId15" display="http://vsolj.cetus-net.org/no45.pdf"/>
    <hyperlink ref="P24" r:id="rId16" display="http://www.bav-astro.de/sfs/BAVM_link.php?BAVMnr=186"/>
    <hyperlink ref="P25" r:id="rId17" display="http://www.konkoly.hu/cgi-bin/IBVS?5898"/>
    <hyperlink ref="P33" r:id="rId18" display="http://var.astro.cz/oejv/issues/oejv0094.pdf"/>
    <hyperlink ref="P26" r:id="rId19" display="http://var.astro.cz/oejv/issues/oejv0160.pdf"/>
    <hyperlink ref="P27" r:id="rId20" display="http://www.bav-astro.de/sfs/BAVM_link.php?BAVMnr=220"/>
    <hyperlink ref="P34" r:id="rId21" display="http://www.konkoly.hu/cgi-bin/IBVS?6044"/>
    <hyperlink ref="P29" r:id="rId22" display="http://www.bav-astro.de/sfs/BAVM_link.php?BAVMnr=23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2023-01-17T03:57:10Z</dcterms:modified>
</cp:coreProperties>
</file>