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E0CFEE6-9ED2-4011-9EB4-5075C8D8CB03}" xr6:coauthVersionLast="47" xr6:coauthVersionMax="47" xr10:uidLastSave="{00000000-0000-0000-0000-000000000000}"/>
  <bookViews>
    <workbookView xWindow="14085" yWindow="1215" windowWidth="12975" windowHeight="14640"/>
  </bookViews>
  <sheets>
    <sheet name="Active" sheetId="1" r:id="rId1"/>
  </sheets>
  <definedNames>
    <definedName name="solver_adj" localSheetId="0" hidden="1">Active!$Z$1:$Z$4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Active!$X$7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9" i="1" l="1"/>
  <c r="F49" i="1" s="1"/>
  <c r="Q49" i="1"/>
  <c r="E50" i="1"/>
  <c r="F50" i="1" s="1"/>
  <c r="Q50" i="1"/>
  <c r="E51" i="1"/>
  <c r="F51" i="1" s="1"/>
  <c r="Q51" i="1"/>
  <c r="E46" i="1"/>
  <c r="F46" i="1"/>
  <c r="E47" i="1"/>
  <c r="F47" i="1"/>
  <c r="E48" i="1"/>
  <c r="F48" i="1"/>
  <c r="Q46" i="1"/>
  <c r="Q47" i="1"/>
  <c r="Q48" i="1"/>
  <c r="Z5" i="1"/>
  <c r="Z6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11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E22" i="1"/>
  <c r="F22" i="1"/>
  <c r="G22" i="1"/>
  <c r="T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21" i="1"/>
  <c r="F21" i="1"/>
  <c r="G21" i="1"/>
  <c r="T21" i="1"/>
  <c r="C14" i="1"/>
  <c r="C13" i="1"/>
  <c r="D14" i="1"/>
  <c r="D1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F12" i="1"/>
  <c r="F13" i="1" s="1"/>
  <c r="C17" i="1"/>
  <c r="Q21" i="1"/>
  <c r="G42" i="1"/>
  <c r="U42" i="1"/>
  <c r="G38" i="1"/>
  <c r="U38" i="1"/>
  <c r="G34" i="1"/>
  <c r="H34" i="1"/>
  <c r="V34" i="1"/>
  <c r="G30" i="1"/>
  <c r="V30" i="1"/>
  <c r="G26" i="1"/>
  <c r="U26" i="1"/>
  <c r="H42" i="1"/>
  <c r="R42" i="1"/>
  <c r="W42" i="1"/>
  <c r="H30" i="1"/>
  <c r="S30" i="1"/>
  <c r="X30" i="1"/>
  <c r="H38" i="1"/>
  <c r="R38" i="1"/>
  <c r="H26" i="1"/>
  <c r="R26" i="1"/>
  <c r="W26" i="1"/>
  <c r="W38" i="1"/>
  <c r="G37" i="1"/>
  <c r="U37" i="1"/>
  <c r="U48" i="1"/>
  <c r="G48" i="1"/>
  <c r="V29" i="1"/>
  <c r="G29" i="1"/>
  <c r="G46" i="1"/>
  <c r="U46" i="1"/>
  <c r="G41" i="1"/>
  <c r="U41" i="1"/>
  <c r="U28" i="1"/>
  <c r="G28" i="1"/>
  <c r="G40" i="1"/>
  <c r="V40" i="1"/>
  <c r="G27" i="1"/>
  <c r="V27" i="1"/>
  <c r="G24" i="1"/>
  <c r="U24" i="1"/>
  <c r="V23" i="1"/>
  <c r="G23" i="1"/>
  <c r="G35" i="1"/>
  <c r="U35" i="1"/>
  <c r="U39" i="1"/>
  <c r="G39" i="1"/>
  <c r="G33" i="1"/>
  <c r="U33" i="1"/>
  <c r="G43" i="1"/>
  <c r="V43" i="1"/>
  <c r="G36" i="1"/>
  <c r="V36" i="1"/>
  <c r="U47" i="1"/>
  <c r="G47" i="1"/>
  <c r="G45" i="1"/>
  <c r="U45" i="1"/>
  <c r="G32" i="1"/>
  <c r="V32" i="1"/>
  <c r="G44" i="1"/>
  <c r="U44" i="1"/>
  <c r="G31" i="1"/>
  <c r="U31" i="1"/>
  <c r="V25" i="1"/>
  <c r="G25" i="1"/>
  <c r="S34" i="1"/>
  <c r="X34" i="1"/>
  <c r="S43" i="1"/>
  <c r="X43" i="1"/>
  <c r="H43" i="1"/>
  <c r="R45" i="1"/>
  <c r="W45" i="1"/>
  <c r="H45" i="1"/>
  <c r="H41" i="1"/>
  <c r="R41" i="1"/>
  <c r="W41" i="1"/>
  <c r="S47" i="1"/>
  <c r="W47" i="1"/>
  <c r="H47" i="1"/>
  <c r="R39" i="1"/>
  <c r="H39" i="1"/>
  <c r="H31" i="1"/>
  <c r="R31" i="1"/>
  <c r="W31" i="1"/>
  <c r="S27" i="1"/>
  <c r="X27" i="1"/>
  <c r="H27" i="1"/>
  <c r="H46" i="1"/>
  <c r="R46" i="1"/>
  <c r="W46" i="1"/>
  <c r="R33" i="1"/>
  <c r="W33" i="1"/>
  <c r="H33" i="1"/>
  <c r="R37" i="1"/>
  <c r="W37" i="1"/>
  <c r="H37" i="1"/>
  <c r="H29" i="1"/>
  <c r="S29" i="1"/>
  <c r="X29" i="1"/>
  <c r="H32" i="1"/>
  <c r="S32" i="1"/>
  <c r="X32" i="1"/>
  <c r="H25" i="1"/>
  <c r="S25" i="1"/>
  <c r="X25" i="1"/>
  <c r="H24" i="1"/>
  <c r="R24" i="1"/>
  <c r="H44" i="1"/>
  <c r="R44" i="1"/>
  <c r="W44" i="1"/>
  <c r="H36" i="1"/>
  <c r="S36" i="1"/>
  <c r="X36" i="1"/>
  <c r="H35" i="1"/>
  <c r="R35" i="1"/>
  <c r="W35" i="1"/>
  <c r="S40" i="1"/>
  <c r="H40" i="1"/>
  <c r="H23" i="1"/>
  <c r="S23" i="1"/>
  <c r="H28" i="1"/>
  <c r="R28" i="1"/>
  <c r="W28" i="1"/>
  <c r="R48" i="1"/>
  <c r="W48" i="1"/>
  <c r="H48" i="1"/>
  <c r="X40" i="1"/>
  <c r="W39" i="1"/>
  <c r="S19" i="1"/>
  <c r="E19" i="1"/>
  <c r="X23" i="1"/>
  <c r="W24" i="1"/>
  <c r="D12" i="1"/>
  <c r="D11" i="1"/>
  <c r="P51" i="1" l="1"/>
  <c r="P50" i="1"/>
  <c r="P49" i="1"/>
  <c r="U51" i="1"/>
  <c r="G51" i="1"/>
  <c r="U50" i="1"/>
  <c r="G50" i="1"/>
  <c r="U49" i="1"/>
  <c r="G49" i="1"/>
  <c r="D15" i="1"/>
  <c r="C19" i="1" s="1"/>
  <c r="P39" i="1"/>
  <c r="P41" i="1"/>
  <c r="P40" i="1"/>
  <c r="P46" i="1"/>
  <c r="P47" i="1"/>
  <c r="P44" i="1"/>
  <c r="P42" i="1"/>
  <c r="P36" i="1"/>
  <c r="P37" i="1"/>
  <c r="P38" i="1"/>
  <c r="P45" i="1"/>
  <c r="P43" i="1"/>
  <c r="P48" i="1"/>
  <c r="D16" i="1"/>
  <c r="D19" i="1" s="1"/>
  <c r="R50" i="1" l="1"/>
  <c r="W50" i="1" s="1"/>
  <c r="H50" i="1"/>
  <c r="R51" i="1"/>
  <c r="W51" i="1" s="1"/>
  <c r="H51" i="1"/>
  <c r="H49" i="1"/>
  <c r="R49" i="1"/>
  <c r="C12" i="1"/>
  <c r="C11" i="1"/>
  <c r="O49" i="1" l="1"/>
  <c r="O50" i="1"/>
  <c r="O51" i="1"/>
  <c r="O38" i="1"/>
  <c r="O36" i="1"/>
  <c r="O37" i="1"/>
  <c r="O48" i="1"/>
  <c r="O41" i="1"/>
  <c r="O44" i="1"/>
  <c r="O43" i="1"/>
  <c r="C15" i="1"/>
  <c r="O40" i="1"/>
  <c r="O47" i="1"/>
  <c r="O42" i="1"/>
  <c r="O45" i="1"/>
  <c r="O46" i="1"/>
  <c r="O39" i="1"/>
  <c r="C16" i="1"/>
  <c r="D18" i="1" s="1"/>
  <c r="W49" i="1"/>
  <c r="X7" i="1" s="1"/>
  <c r="R19" i="1"/>
  <c r="E18" i="1" s="1"/>
  <c r="C18" i="1" l="1"/>
  <c r="F14" i="1"/>
  <c r="F15" i="1" s="1"/>
</calcChain>
</file>

<file path=xl/sharedStrings.xml><?xml version="1.0" encoding="utf-8"?>
<sst xmlns="http://schemas.openxmlformats.org/spreadsheetml/2006/main" count="119" uniqueCount="70">
  <si>
    <t>OEJV 0189</t>
  </si>
  <si>
    <t>OEJV 0198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</si>
  <si>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</si>
  <si>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</si>
  <si>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</si>
  <si>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</si>
  <si>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</si>
  <si>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</si>
  <si>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</si>
  <si>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</si>
  <si>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</si>
  <si>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</si>
  <si>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</si>
  <si>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</si>
  <si>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</si>
  <si>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</si>
  <si>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</si>
  <si>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</si>
  <si>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</si>
  <si>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</si>
  <si>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</si>
  <si>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</si>
  <si>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</si>
  <si>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</si>
  <si>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</si>
  <si>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</si>
  <si>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</si>
  <si>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</si>
  <si>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</si>
  <si>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</si>
  <si>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</si>
  <si>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</si>
  <si>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</si>
  <si>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</si>
  <si>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</si>
  <si>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</si>
  <si>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</si>
  <si>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</si>
  <si>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</si>
  <si>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</si>
  <si>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</si>
  <si>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</si>
  <si>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GG Lup / GSC 07826-03079</t>
  </si>
  <si>
    <t>EB/DM</t>
  </si>
  <si>
    <t>BBSAG Bull.29</t>
  </si>
  <si>
    <t>AS AP 277,439</t>
  </si>
  <si>
    <t>II</t>
  </si>
  <si>
    <t>OEJV 0130</t>
  </si>
  <si>
    <t>OEJV 0182</t>
  </si>
  <si>
    <t>I</t>
  </si>
  <si>
    <t>pg</t>
  </si>
  <si>
    <t>vis</t>
  </si>
  <si>
    <t>PE</t>
  </si>
  <si>
    <t>CCD</t>
  </si>
  <si>
    <t>BAD?</t>
  </si>
  <si>
    <t>VSX -- modified</t>
  </si>
  <si>
    <t>VSX period 2018-09-11</t>
  </si>
  <si>
    <t>E</t>
  </si>
  <si>
    <t>Calc_P</t>
  </si>
  <si>
    <t>Calc_S</t>
  </si>
  <si>
    <t>cycles</t>
  </si>
  <si>
    <t>days</t>
  </si>
  <si>
    <t>years</t>
  </si>
  <si>
    <t>=</t>
  </si>
  <si>
    <t>Ampl =</t>
  </si>
  <si>
    <t>Eo =</t>
  </si>
  <si>
    <t>(O-C)o =</t>
  </si>
  <si>
    <r>
      <t>diff</t>
    </r>
    <r>
      <rPr>
        <vertAlign val="superscript"/>
        <sz val="10"/>
        <rFont val="Arial"/>
        <family val="2"/>
      </rPr>
      <t>2</t>
    </r>
  </si>
  <si>
    <r>
      <t>Sum {diff</t>
    </r>
    <r>
      <rPr>
        <vertAlign val="superscript"/>
        <sz val="10"/>
        <rFont val="Arial"/>
        <family val="2"/>
      </rPr>
      <t>2}</t>
    </r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</si>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</sst>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17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6" xfId="0" applyBorder="1" applyAlignment="1"/>
    <xf numFmtId="0" fontId="15" fillId="0" borderId="7" xfId="0" applyFont="1" applyBorder="1" applyAlignment="1"/>
    <xf numFmtId="0" fontId="0" fillId="0" borderId="0" xfId="0" quotePrefix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7" applyFont="1" applyAlignment="1">
      <alignment horizontal="left"/>
    </xf>
    <xf numFmtId="0" fontId="18" fillId="0" borderId="0" xfId="7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76" fontId="19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_1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Prim. O-C Diagr.</a:t>
            </a:r>
          </a:p>
        </c:rich>
      </c:tx>
      <c:layout>
        <c:manualLayout>
          <c:xMode val="edge"/>
          <c:yMode val="edge"/>
          <c:x val="0.2952185134862300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414456686540114"/>
          <c:w val="0.76091553334883111"/>
          <c:h val="0.63663850365552166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3">
                  <c:v>2.4299999997310806E-2</c:v>
                </c:pt>
                <c:pt idx="5">
                  <c:v>2.1800000002258457E-2</c:v>
                </c:pt>
                <c:pt idx="7">
                  <c:v>3.4300000006624032E-2</c:v>
                </c:pt>
                <c:pt idx="10">
                  <c:v>4.3500000007043127E-2</c:v>
                </c:pt>
                <c:pt idx="12">
                  <c:v>4.5000000005529728E-2</c:v>
                </c:pt>
                <c:pt idx="14">
                  <c:v>5.400000000372529E-2</c:v>
                </c:pt>
                <c:pt idx="16">
                  <c:v>0.12219999999797437</c:v>
                </c:pt>
                <c:pt idx="17">
                  <c:v>0.1211000000112108</c:v>
                </c:pt>
                <c:pt idx="18">
                  <c:v>0.12109999999665888</c:v>
                </c:pt>
                <c:pt idx="20">
                  <c:v>0.12140000000363216</c:v>
                </c:pt>
                <c:pt idx="21">
                  <c:v>0.11850000000413274</c:v>
                </c:pt>
                <c:pt idx="23">
                  <c:v>0.12070000000676373</c:v>
                </c:pt>
                <c:pt idx="24">
                  <c:v>0.12069999999948777</c:v>
                </c:pt>
                <c:pt idx="25">
                  <c:v>0.1201000001601642</c:v>
                </c:pt>
                <c:pt idx="27">
                  <c:v>0.11837099999684142</c:v>
                </c:pt>
                <c:pt idx="28">
                  <c:v>0.1175799999764422</c:v>
                </c:pt>
                <c:pt idx="29">
                  <c:v>-5.0910000107251108E-2</c:v>
                </c:pt>
                <c:pt idx="30">
                  <c:v>-5.0529999993159436E-2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0A-4803-9F58-EF3D09B330B8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15">
                  <c:v>0.41251140032790884</c:v>
                </c:pt>
                <c:pt idx="16">
                  <c:v>0.16300950520110247</c:v>
                </c:pt>
                <c:pt idx="17">
                  <c:v>0.13969770818306948</c:v>
                </c:pt>
                <c:pt idx="18">
                  <c:v>0.13930370597994779</c:v>
                </c:pt>
                <c:pt idx="19">
                  <c:v>0.13927087246302106</c:v>
                </c:pt>
                <c:pt idx="20">
                  <c:v>0.13917237191224063</c:v>
                </c:pt>
                <c:pt idx="21">
                  <c:v>0.1117235517614299</c:v>
                </c:pt>
                <c:pt idx="22">
                  <c:v>0.11090271383825978</c:v>
                </c:pt>
                <c:pt idx="23">
                  <c:v>8.5982074490813298E-2</c:v>
                </c:pt>
                <c:pt idx="24">
                  <c:v>8.506273601686265E-2</c:v>
                </c:pt>
                <c:pt idx="25">
                  <c:v>7.1929329246139817E-2</c:v>
                </c:pt>
                <c:pt idx="26">
                  <c:v>5.9419759297026364E-2</c:v>
                </c:pt>
                <c:pt idx="27">
                  <c:v>5.9321258746245942E-2</c:v>
                </c:pt>
                <c:pt idx="28">
                  <c:v>4.9733871803618324E-2</c:v>
                </c:pt>
                <c:pt idx="29">
                  <c:v>4.9438370151277056E-2</c:v>
                </c:pt>
                <c:pt idx="30">
                  <c:v>4.6746021763278911E-2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0A-4803-9F58-EF3D09B33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68752"/>
        <c:axId val="1"/>
      </c:scatterChart>
      <c:valAx>
        <c:axId val="95236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68752"/>
        <c:crosses val="autoZero"/>
        <c:crossBetween val="midCat"/>
        <c:maj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540584194127499"/>
          <c:y val="0.92192475940507435"/>
          <c:w val="0.3035345218022383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6">
                    <c:v>0.01</c:v>
                  </c:pt>
                  <c:pt idx="17">
                    <c:v>1.4E-3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2E-3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1.1000000000000001E-3</c:v>
                  </c:pt>
                  <c:pt idx="26">
                    <c:v>2.2000000000000001E-3</c:v>
                  </c:pt>
                  <c:pt idx="27">
                    <c:v>6.3E-5</c:v>
                  </c:pt>
                  <c:pt idx="28">
                    <c:v>1.2199999999999999E-3</c:v>
                  </c:pt>
                  <c:pt idx="29">
                    <c:v>1.5399999999999999E-3</c:v>
                  </c:pt>
                  <c:pt idx="30">
                    <c:v>2.2799999999999999E-3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6">
                    <c:v>0.01</c:v>
                  </c:pt>
                  <c:pt idx="17">
                    <c:v>1.4E-3</c:v>
                  </c:pt>
                  <c:pt idx="18">
                    <c:v>1.2999999999999999E-3</c:v>
                  </c:pt>
                  <c:pt idx="19">
                    <c:v>2E-3</c:v>
                  </c:pt>
                  <c:pt idx="20">
                    <c:v>2E-3</c:v>
                  </c:pt>
                  <c:pt idx="21">
                    <c:v>1.1999999999999999E-3</c:v>
                  </c:pt>
                  <c:pt idx="22">
                    <c:v>2E-3</c:v>
                  </c:pt>
                  <c:pt idx="23">
                    <c:v>1.1000000000000001E-3</c:v>
                  </c:pt>
                  <c:pt idx="24">
                    <c:v>1.1999999999999999E-3</c:v>
                  </c:pt>
                  <c:pt idx="25">
                    <c:v>1.1000000000000001E-3</c:v>
                  </c:pt>
                  <c:pt idx="26">
                    <c:v>2.2000000000000001E-3</c:v>
                  </c:pt>
                  <c:pt idx="27">
                    <c:v>6.3E-5</c:v>
                  </c:pt>
                  <c:pt idx="28">
                    <c:v>1.2199999999999999E-3</c:v>
                  </c:pt>
                  <c:pt idx="29">
                    <c:v>1.5399999999999999E-3</c:v>
                  </c:pt>
                  <c:pt idx="30">
                    <c:v>2.2799999999999999E-3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2">
                  <c:v>3.6200000009557698E-2</c:v>
                </c:pt>
                <c:pt idx="3">
                  <c:v>2.4299999997310806E-2</c:v>
                </c:pt>
                <c:pt idx="4">
                  <c:v>3.5500000005413312E-2</c:v>
                </c:pt>
                <c:pt idx="5">
                  <c:v>2.1800000002258457E-2</c:v>
                </c:pt>
                <c:pt idx="6">
                  <c:v>2.3300000000745058E-2</c:v>
                </c:pt>
                <c:pt idx="7">
                  <c:v>3.4300000006624032E-2</c:v>
                </c:pt>
                <c:pt idx="8">
                  <c:v>1.8600000003061723E-2</c:v>
                </c:pt>
                <c:pt idx="9">
                  <c:v>1.6700000000128057E-2</c:v>
                </c:pt>
                <c:pt idx="10">
                  <c:v>4.3500000007043127E-2</c:v>
                </c:pt>
                <c:pt idx="11">
                  <c:v>1.0000000002037268E-2</c:v>
                </c:pt>
                <c:pt idx="12">
                  <c:v>4.5000000005529728E-2</c:v>
                </c:pt>
                <c:pt idx="13">
                  <c:v>9.2000000076950528E-3</c:v>
                </c:pt>
                <c:pt idx="14">
                  <c:v>5.400000000372529E-2</c:v>
                </c:pt>
                <c:pt idx="15">
                  <c:v>-1.8999999956577085E-3</c:v>
                </c:pt>
                <c:pt idx="16">
                  <c:v>0.12219999999797437</c:v>
                </c:pt>
                <c:pt idx="17">
                  <c:v>0.1211000000112108</c:v>
                </c:pt>
                <c:pt idx="18">
                  <c:v>0.12109999999665888</c:v>
                </c:pt>
                <c:pt idx="19">
                  <c:v>-6.3199999996868428E-2</c:v>
                </c:pt>
                <c:pt idx="20">
                  <c:v>0.12140000000363216</c:v>
                </c:pt>
                <c:pt idx="21">
                  <c:v>0.11850000000413274</c:v>
                </c:pt>
                <c:pt idx="22">
                  <c:v>-6.1399999998684507E-2</c:v>
                </c:pt>
                <c:pt idx="23">
                  <c:v>0.12070000000676373</c:v>
                </c:pt>
                <c:pt idx="24">
                  <c:v>0.12069999999948777</c:v>
                </c:pt>
                <c:pt idx="25">
                  <c:v>0.1201000001601642</c:v>
                </c:pt>
                <c:pt idx="26">
                  <c:v>-5.3399999997054692E-2</c:v>
                </c:pt>
                <c:pt idx="27">
                  <c:v>0.11837099999684142</c:v>
                </c:pt>
                <c:pt idx="28">
                  <c:v>0.1175799999764422</c:v>
                </c:pt>
                <c:pt idx="29">
                  <c:v>-5.0910000107251108E-2</c:v>
                </c:pt>
                <c:pt idx="30">
                  <c:v>-5.0529999993159436E-2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A-48B6-9A0E-3CFDD58992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EA-48B6-9A0E-3CFDD58992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EA-48B6-9A0E-3CFDD58992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EA-48B6-9A0E-3CFDD58992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EA-48B6-9A0E-3CFDD58992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EA-48B6-9A0E-3CFDD58992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EA-48B6-9A0E-3CFDD5899249}"/>
            </c:ext>
          </c:extLst>
        </c:ser>
        <c:ser>
          <c:idx val="7"/>
          <c:order val="7"/>
          <c:tx>
            <c:strRef>
              <c:f>Active!$Z$10</c:f>
              <c:strCache>
                <c:ptCount val="1"/>
                <c:pt idx="0">
                  <c:v>Calc_P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Active!$Y$11:$Y$66</c:f>
              <c:numCache>
                <c:formatCode>General</c:formatCode>
                <c:ptCount val="5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</c:numCache>
            </c:numRef>
          </c:xVal>
          <c:yVal>
            <c:numRef>
              <c:f>Active!$Z$11:$Z$66</c:f>
              <c:numCache>
                <c:formatCode>General</c:formatCode>
                <c:ptCount val="56"/>
                <c:pt idx="0">
                  <c:v>-5.7229803597303508E-2</c:v>
                </c:pt>
                <c:pt idx="1">
                  <c:v>-5.9684339481978876E-2</c:v>
                </c:pt>
                <c:pt idx="2">
                  <c:v>-6.1632758334771984E-2</c:v>
                </c:pt>
                <c:pt idx="3">
                  <c:v>-6.3063878100619433E-2</c:v>
                </c:pt>
                <c:pt idx="4">
                  <c:v>-6.3969485524962941E-2</c:v>
                </c:pt>
                <c:pt idx="5">
                  <c:v>-6.4344383289951457E-2</c:v>
                </c:pt>
                <c:pt idx="6">
                  <c:v>-6.4186419842059833E-2</c:v>
                </c:pt>
                <c:pt idx="7">
                  <c:v>-6.3496501739941896E-2</c:v>
                </c:pt>
                <c:pt idx="8">
                  <c:v>-6.2278588451653571E-2</c:v>
                </c:pt>
                <c:pt idx="9">
                  <c:v>-6.0539669631104534E-2</c:v>
                </c:pt>
                <c:pt idx="10">
                  <c:v>-5.8289725004150167E-2</c:v>
                </c:pt>
                <c:pt idx="11">
                  <c:v>-5.5541667094538755E-2</c:v>
                </c:pt>
                <c:pt idx="12">
                  <c:v>-5.2311267118412455E-2</c:v>
                </c:pt>
                <c:pt idx="13">
                  <c:v>-4.8617064472656235E-2</c:v>
                </c:pt>
                <c:pt idx="14">
                  <c:v>-4.4480260336544841E-2</c:v>
                </c:pt>
                <c:pt idx="15">
                  <c:v>-3.9924595997312559E-2</c:v>
                </c:pt>
                <c:pt idx="16">
                  <c:v>-3.4976216597939702E-2</c:v>
                </c:pt>
                <c:pt idx="17">
                  <c:v>-2.9663521089113604E-2</c:v>
                </c:pt>
                <c:pt idx="18">
                  <c:v>-2.4016999246495148E-2</c:v>
                </c:pt>
                <c:pt idx="19">
                  <c:v>-1.8069056688655862E-2</c:v>
                </c:pt>
                <c:pt idx="20">
                  <c:v>-1.185382889991457E-2</c:v>
                </c:pt>
                <c:pt idx="21">
                  <c:v>-5.4069853254042344E-3</c:v>
                </c:pt>
                <c:pt idx="22">
                  <c:v>1.2344753373249272E-3</c:v>
                </c:pt>
                <c:pt idx="23">
                  <c:v>8.0324374753357949E-3</c:v>
                </c:pt>
                <c:pt idx="24">
                  <c:v>1.4947887307357669E-2</c:v>
                </c:pt>
                <c:pt idx="25">
                  <c:v>2.1941136785464201E-2</c:v>
                </c:pt>
                <c:pt idx="26">
                  <c:v>2.8972051366395035E-2</c:v>
                </c:pt>
                <c:pt idx="27">
                  <c:v>3.6000280345332397E-2</c:v>
                </c:pt>
                <c:pt idx="28">
                  <c:v>4.2985488430237598E-2</c:v>
                </c:pt>
                <c:pt idx="29">
                  <c:v>4.9887587227733017E-2</c:v>
                </c:pt>
                <c:pt idx="30">
                  <c:v>5.6666965312022602E-2</c:v>
                </c:pt>
                <c:pt idx="31">
                  <c:v>6.3284715556476037E-2</c:v>
                </c:pt>
                <c:pt idx="32">
                  <c:v>6.9702858423211278E-2</c:v>
                </c:pt>
                <c:pt idx="33">
                  <c:v>7.5884559929207646E-2</c:v>
                </c:pt>
                <c:pt idx="34">
                  <c:v>8.1794343038032818E-2</c:v>
                </c:pt>
                <c:pt idx="35">
                  <c:v>8.7398291263998285E-2</c:v>
                </c:pt>
                <c:pt idx="36">
                  <c:v>9.2664243320250514E-2</c:v>
                </c:pt>
                <c:pt idx="37">
                  <c:v>9.7561977693704588E-2</c:v>
                </c:pt>
                <c:pt idx="38">
                  <c:v>0.10206338608753736</c:v>
                </c:pt>
                <c:pt idx="39">
                  <c:v>0.10614263473584636</c:v>
                </c:pt>
                <c:pt idx="40">
                  <c:v>0.10977631266468339</c:v>
                </c:pt>
                <c:pt idx="41">
                  <c:v>0.11294356604858639</c:v>
                </c:pt>
                <c:pt idx="42">
                  <c:v>0.11562621789153217</c:v>
                </c:pt>
                <c:pt idx="43">
                  <c:v>0.11780887234545608</c:v>
                </c:pt>
                <c:pt idx="44">
                  <c:v>0.11947900306765039</c:v>
                </c:pt>
                <c:pt idx="45">
                  <c:v>0.12062702510995468</c:v>
                </c:pt>
                <c:pt idx="46">
                  <c:v>0.12124634992716335</c:v>
                </c:pt>
                <c:pt idx="47">
                  <c:v>0.12133342318895454</c:v>
                </c:pt>
                <c:pt idx="48">
                  <c:v>0.12088774517833641</c:v>
                </c:pt>
                <c:pt idx="49">
                  <c:v>0.11991187365954338</c:v>
                </c:pt>
                <c:pt idx="50">
                  <c:v>0.11841140919892305</c:v>
                </c:pt>
                <c:pt idx="51">
                  <c:v>0.11639496302305816</c:v>
                </c:pt>
                <c:pt idx="52">
                  <c:v>0.11387410759858677</c:v>
                </c:pt>
                <c:pt idx="53">
                  <c:v>0.11086331021734561</c:v>
                </c:pt>
                <c:pt idx="54">
                  <c:v>0.1073798499679935</c:v>
                </c:pt>
                <c:pt idx="55">
                  <c:v>0.10344371857061868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EA-48B6-9A0E-3CFDD5899249}"/>
            </c:ext>
          </c:extLst>
        </c:ser>
        <c:ser>
          <c:idx val="8"/>
          <c:order val="8"/>
          <c:tx>
            <c:strRef>
              <c:f>Active!$AA$10</c:f>
              <c:strCache>
                <c:ptCount val="1"/>
                <c:pt idx="0">
                  <c:v>Calc_S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Active!$Y$11:$Y$66</c:f>
              <c:numCache>
                <c:formatCode>General</c:formatCode>
                <c:ptCount val="56"/>
                <c:pt idx="0">
                  <c:v>0</c:v>
                </c:pt>
                <c:pt idx="1">
                  <c:v>250</c:v>
                </c:pt>
                <c:pt idx="2">
                  <c:v>500</c:v>
                </c:pt>
                <c:pt idx="3">
                  <c:v>750</c:v>
                </c:pt>
                <c:pt idx="4">
                  <c:v>1000</c:v>
                </c:pt>
                <c:pt idx="5">
                  <c:v>1250</c:v>
                </c:pt>
                <c:pt idx="6">
                  <c:v>1500</c:v>
                </c:pt>
                <c:pt idx="7">
                  <c:v>1750</c:v>
                </c:pt>
                <c:pt idx="8">
                  <c:v>2000</c:v>
                </c:pt>
                <c:pt idx="9">
                  <c:v>2250</c:v>
                </c:pt>
                <c:pt idx="10">
                  <c:v>2500</c:v>
                </c:pt>
                <c:pt idx="11">
                  <c:v>2750</c:v>
                </c:pt>
                <c:pt idx="12">
                  <c:v>3000</c:v>
                </c:pt>
                <c:pt idx="13">
                  <c:v>3250</c:v>
                </c:pt>
                <c:pt idx="14">
                  <c:v>3500</c:v>
                </c:pt>
                <c:pt idx="15">
                  <c:v>3750</c:v>
                </c:pt>
                <c:pt idx="16">
                  <c:v>4000</c:v>
                </c:pt>
                <c:pt idx="17">
                  <c:v>4250</c:v>
                </c:pt>
                <c:pt idx="18">
                  <c:v>4500</c:v>
                </c:pt>
                <c:pt idx="19">
                  <c:v>4750</c:v>
                </c:pt>
                <c:pt idx="20">
                  <c:v>5000</c:v>
                </c:pt>
                <c:pt idx="21">
                  <c:v>5250</c:v>
                </c:pt>
                <c:pt idx="22">
                  <c:v>5500</c:v>
                </c:pt>
                <c:pt idx="23">
                  <c:v>5750</c:v>
                </c:pt>
                <c:pt idx="24">
                  <c:v>6000</c:v>
                </c:pt>
                <c:pt idx="25">
                  <c:v>6250</c:v>
                </c:pt>
                <c:pt idx="26">
                  <c:v>6500</c:v>
                </c:pt>
                <c:pt idx="27">
                  <c:v>6750</c:v>
                </c:pt>
                <c:pt idx="28">
                  <c:v>7000</c:v>
                </c:pt>
                <c:pt idx="29">
                  <c:v>7250</c:v>
                </c:pt>
                <c:pt idx="30">
                  <c:v>7500</c:v>
                </c:pt>
                <c:pt idx="31">
                  <c:v>7750</c:v>
                </c:pt>
                <c:pt idx="32">
                  <c:v>8000</c:v>
                </c:pt>
                <c:pt idx="33">
                  <c:v>8250</c:v>
                </c:pt>
                <c:pt idx="34">
                  <c:v>8500</c:v>
                </c:pt>
                <c:pt idx="35">
                  <c:v>8750</c:v>
                </c:pt>
                <c:pt idx="36">
                  <c:v>9000</c:v>
                </c:pt>
                <c:pt idx="37">
                  <c:v>9250</c:v>
                </c:pt>
                <c:pt idx="38">
                  <c:v>9500</c:v>
                </c:pt>
                <c:pt idx="39">
                  <c:v>9750</c:v>
                </c:pt>
                <c:pt idx="40">
                  <c:v>10000</c:v>
                </c:pt>
                <c:pt idx="41">
                  <c:v>10250</c:v>
                </c:pt>
                <c:pt idx="42">
                  <c:v>10500</c:v>
                </c:pt>
                <c:pt idx="43">
                  <c:v>10750</c:v>
                </c:pt>
                <c:pt idx="44">
                  <c:v>11000</c:v>
                </c:pt>
                <c:pt idx="45">
                  <c:v>11250</c:v>
                </c:pt>
                <c:pt idx="46">
                  <c:v>11500</c:v>
                </c:pt>
                <c:pt idx="47">
                  <c:v>11750</c:v>
                </c:pt>
                <c:pt idx="48">
                  <c:v>12000</c:v>
                </c:pt>
                <c:pt idx="49">
                  <c:v>12250</c:v>
                </c:pt>
                <c:pt idx="50">
                  <c:v>12500</c:v>
                </c:pt>
                <c:pt idx="51">
                  <c:v>12750</c:v>
                </c:pt>
                <c:pt idx="52">
                  <c:v>13000</c:v>
                </c:pt>
                <c:pt idx="53">
                  <c:v>13250</c:v>
                </c:pt>
                <c:pt idx="54">
                  <c:v>13500</c:v>
                </c:pt>
                <c:pt idx="55">
                  <c:v>13750</c:v>
                </c:pt>
              </c:numCache>
            </c:numRef>
          </c:xVal>
          <c:yVal>
            <c:numRef>
              <c:f>Active!$AA$11:$AA$66</c:f>
              <c:numCache>
                <c:formatCode>General</c:formatCode>
                <c:ptCount val="56"/>
                <c:pt idx="0">
                  <c:v>0.11423800009005255</c:v>
                </c:pt>
                <c:pt idx="1">
                  <c:v>0.11669253597472792</c:v>
                </c:pt>
                <c:pt idx="2">
                  <c:v>0.11864095482752103</c:v>
                </c:pt>
                <c:pt idx="3">
                  <c:v>0.12007207459336848</c:v>
                </c:pt>
                <c:pt idx="4">
                  <c:v>0.12097768201771199</c:v>
                </c:pt>
                <c:pt idx="5">
                  <c:v>0.1213525797827005</c:v>
                </c:pt>
                <c:pt idx="6">
                  <c:v>0.12119461633480888</c:v>
                </c:pt>
                <c:pt idx="7">
                  <c:v>0.12050469823269094</c:v>
                </c:pt>
                <c:pt idx="8">
                  <c:v>0.11928678494440262</c:v>
                </c:pt>
                <c:pt idx="9">
                  <c:v>0.11754786612385358</c:v>
                </c:pt>
                <c:pt idx="10">
                  <c:v>0.11529792149689921</c:v>
                </c:pt>
                <c:pt idx="11">
                  <c:v>0.1125498635872878</c:v>
                </c:pt>
                <c:pt idx="12">
                  <c:v>0.1093194636111615</c:v>
                </c:pt>
                <c:pt idx="13">
                  <c:v>0.10562526096540528</c:v>
                </c:pt>
                <c:pt idx="14">
                  <c:v>0.10148845682929389</c:v>
                </c:pt>
                <c:pt idx="15">
                  <c:v>9.6932792490061606E-2</c:v>
                </c:pt>
                <c:pt idx="16">
                  <c:v>9.1984413090688749E-2</c:v>
                </c:pt>
                <c:pt idx="17">
                  <c:v>8.6671717581862651E-2</c:v>
                </c:pt>
                <c:pt idx="18">
                  <c:v>8.1025195739244188E-2</c:v>
                </c:pt>
                <c:pt idx="19">
                  <c:v>7.5077253181404902E-2</c:v>
                </c:pt>
                <c:pt idx="20">
                  <c:v>6.8862025392663617E-2</c:v>
                </c:pt>
                <c:pt idx="21">
                  <c:v>6.2415181818153281E-2</c:v>
                </c:pt>
                <c:pt idx="22">
                  <c:v>5.5773721155424116E-2</c:v>
                </c:pt>
                <c:pt idx="23">
                  <c:v>4.8975759017413252E-2</c:v>
                </c:pt>
                <c:pt idx="24">
                  <c:v>4.206030918539138E-2</c:v>
                </c:pt>
                <c:pt idx="25">
                  <c:v>3.5067059707284846E-2</c:v>
                </c:pt>
                <c:pt idx="26">
                  <c:v>2.8036145126354012E-2</c:v>
                </c:pt>
                <c:pt idx="27">
                  <c:v>2.1007916147416653E-2</c:v>
                </c:pt>
                <c:pt idx="28">
                  <c:v>1.4022708062511453E-2</c:v>
                </c:pt>
                <c:pt idx="29">
                  <c:v>7.1206092650160299E-3</c:v>
                </c:pt>
                <c:pt idx="30">
                  <c:v>3.4123118072644509E-4</c:v>
                </c:pt>
                <c:pt idx="31">
                  <c:v>-6.2765190637269902E-3</c:v>
                </c:pt>
                <c:pt idx="32">
                  <c:v>-1.2694661930462238E-2</c:v>
                </c:pt>
                <c:pt idx="33">
                  <c:v>-1.8876363436458592E-2</c:v>
                </c:pt>
                <c:pt idx="34">
                  <c:v>-2.4786146545283771E-2</c:v>
                </c:pt>
                <c:pt idx="35">
                  <c:v>-3.0390094771249244E-2</c:v>
                </c:pt>
                <c:pt idx="36">
                  <c:v>-3.5656046827501467E-2</c:v>
                </c:pt>
                <c:pt idx="37">
                  <c:v>-4.0553781200955541E-2</c:v>
                </c:pt>
                <c:pt idx="38">
                  <c:v>-4.5055189594788311E-2</c:v>
                </c:pt>
                <c:pt idx="39">
                  <c:v>-4.9134438243097309E-2</c:v>
                </c:pt>
                <c:pt idx="40">
                  <c:v>-5.2768116171934346E-2</c:v>
                </c:pt>
                <c:pt idx="41">
                  <c:v>-5.5935369555837347E-2</c:v>
                </c:pt>
                <c:pt idx="42">
                  <c:v>-5.8618021398783124E-2</c:v>
                </c:pt>
                <c:pt idx="43">
                  <c:v>-6.0800675852707028E-2</c:v>
                </c:pt>
                <c:pt idx="44">
                  <c:v>-6.2470806574901339E-2</c:v>
                </c:pt>
                <c:pt idx="45">
                  <c:v>-6.3618828617205636E-2</c:v>
                </c:pt>
                <c:pt idx="46">
                  <c:v>-6.4238153434414302E-2</c:v>
                </c:pt>
                <c:pt idx="47">
                  <c:v>-6.4325226696205495E-2</c:v>
                </c:pt>
                <c:pt idx="48">
                  <c:v>-6.3879548685587359E-2</c:v>
                </c:pt>
                <c:pt idx="49">
                  <c:v>-6.2903677166794333E-2</c:v>
                </c:pt>
                <c:pt idx="50">
                  <c:v>-6.1403212706174007E-2</c:v>
                </c:pt>
                <c:pt idx="51">
                  <c:v>-5.938676653030911E-2</c:v>
                </c:pt>
                <c:pt idx="52">
                  <c:v>-5.6865911105837719E-2</c:v>
                </c:pt>
                <c:pt idx="53">
                  <c:v>-5.3855113724596559E-2</c:v>
                </c:pt>
                <c:pt idx="54">
                  <c:v>-5.0371653475244457E-2</c:v>
                </c:pt>
                <c:pt idx="55">
                  <c:v>-4.6435522077869634E-2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EA-48B6-9A0E-3CFDD5899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2032"/>
        <c:axId val="1"/>
      </c:scatterChart>
      <c:valAx>
        <c:axId val="9523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2097264437689974"/>
          <c:w val="0.793548387096774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Lup - Sec. O-C Diagr.</a:t>
            </a:r>
          </a:p>
        </c:rich>
      </c:tx>
      <c:layout>
        <c:manualLayout>
          <c:xMode val="edge"/>
          <c:yMode val="edge"/>
          <c:x val="0.3040818469119931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371278494688106"/>
          <c:w val="0.76530688507143363"/>
          <c:h val="0.63772548320178468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2">
                  <c:v>3.6200000009557698E-2</c:v>
                </c:pt>
                <c:pt idx="4">
                  <c:v>3.5500000005413312E-2</c:v>
                </c:pt>
                <c:pt idx="6">
                  <c:v>2.3300000000745058E-2</c:v>
                </c:pt>
                <c:pt idx="8">
                  <c:v>1.8600000003061723E-2</c:v>
                </c:pt>
                <c:pt idx="9">
                  <c:v>1.6700000000128057E-2</c:v>
                </c:pt>
                <c:pt idx="11">
                  <c:v>1.0000000002037268E-2</c:v>
                </c:pt>
                <c:pt idx="13">
                  <c:v>9.2000000076950528E-3</c:v>
                </c:pt>
                <c:pt idx="15">
                  <c:v>-1.8999999956577085E-3</c:v>
                </c:pt>
                <c:pt idx="19">
                  <c:v>-6.3199999996868428E-2</c:v>
                </c:pt>
                <c:pt idx="22">
                  <c:v>-6.1399999998684507E-2</c:v>
                </c:pt>
                <c:pt idx="26">
                  <c:v>-5.3399999997054692E-2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5-421C-A75E-1CBB06884DC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4562</c:v>
                </c:pt>
                <c:pt idx="2">
                  <c:v>6273.5</c:v>
                </c:pt>
                <c:pt idx="3">
                  <c:v>6274</c:v>
                </c:pt>
                <c:pt idx="4">
                  <c:v>6280.5</c:v>
                </c:pt>
                <c:pt idx="5">
                  <c:v>6281</c:v>
                </c:pt>
                <c:pt idx="6">
                  <c:v>6652.5</c:v>
                </c:pt>
                <c:pt idx="7">
                  <c:v>6673</c:v>
                </c:pt>
                <c:pt idx="8">
                  <c:v>6871.5</c:v>
                </c:pt>
                <c:pt idx="9">
                  <c:v>6872.5</c:v>
                </c:pt>
                <c:pt idx="10">
                  <c:v>7058</c:v>
                </c:pt>
                <c:pt idx="11">
                  <c:v>7091.5</c:v>
                </c:pt>
                <c:pt idx="12">
                  <c:v>7106</c:v>
                </c:pt>
                <c:pt idx="13">
                  <c:v>7106.5</c:v>
                </c:pt>
                <c:pt idx="14">
                  <c:v>7478</c:v>
                </c:pt>
                <c:pt idx="15">
                  <c:v>7483.5</c:v>
                </c:pt>
                <c:pt idx="16">
                  <c:v>11283</c:v>
                </c:pt>
                <c:pt idx="17">
                  <c:v>11638</c:v>
                </c:pt>
                <c:pt idx="18">
                  <c:v>11644</c:v>
                </c:pt>
                <c:pt idx="19">
                  <c:v>11644.5</c:v>
                </c:pt>
                <c:pt idx="20">
                  <c:v>11646</c:v>
                </c:pt>
                <c:pt idx="21">
                  <c:v>12064</c:v>
                </c:pt>
                <c:pt idx="22">
                  <c:v>12076.5</c:v>
                </c:pt>
                <c:pt idx="23">
                  <c:v>12456</c:v>
                </c:pt>
                <c:pt idx="24">
                  <c:v>12470</c:v>
                </c:pt>
                <c:pt idx="25">
                  <c:v>12670</c:v>
                </c:pt>
                <c:pt idx="26">
                  <c:v>12860.5</c:v>
                </c:pt>
                <c:pt idx="27">
                  <c:v>12862</c:v>
                </c:pt>
                <c:pt idx="28">
                  <c:v>13008</c:v>
                </c:pt>
                <c:pt idx="29">
                  <c:v>13012.5</c:v>
                </c:pt>
                <c:pt idx="30">
                  <c:v>13053.5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15">
                  <c:v>-9.8517795585331497E-2</c:v>
                </c:pt>
                <c:pt idx="16">
                  <c:v>-6.6910400991354535E-2</c:v>
                </c:pt>
                <c:pt idx="17">
                  <c:v>-6.3957216340515793E-2</c:v>
                </c:pt>
                <c:pt idx="18">
                  <c:v>-6.3907303360501613E-2</c:v>
                </c:pt>
                <c:pt idx="19">
                  <c:v>-6.3903143945500437E-2</c:v>
                </c:pt>
                <c:pt idx="20">
                  <c:v>-6.3890665700496882E-2</c:v>
                </c:pt>
                <c:pt idx="21">
                  <c:v>-6.0413394759509298E-2</c:v>
                </c:pt>
                <c:pt idx="22">
                  <c:v>-6.0309409384479762E-2</c:v>
                </c:pt>
                <c:pt idx="23">
                  <c:v>-5.7152413398583124E-2</c:v>
                </c:pt>
                <c:pt idx="24">
                  <c:v>-5.7035949778550046E-2</c:v>
                </c:pt>
                <c:pt idx="25">
                  <c:v>-5.5372183778077511E-2</c:v>
                </c:pt>
                <c:pt idx="26">
                  <c:v>-5.3787446662627428E-2</c:v>
                </c:pt>
                <c:pt idx="27">
                  <c:v>-5.3774968417623886E-2</c:v>
                </c:pt>
                <c:pt idx="28">
                  <c:v>-5.256041923727893E-2</c:v>
                </c:pt>
                <c:pt idx="29">
                  <c:v>-5.2522984502268305E-2</c:v>
                </c:pt>
                <c:pt idx="30">
                  <c:v>-5.2181912472171438E-2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D5-421C-A75E-1CBB0688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1376"/>
        <c:axId val="1"/>
      </c:scatterChart>
      <c:valAx>
        <c:axId val="95237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215694595061837"/>
          <c:w val="0.3306126734158230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CE279C4-85CE-72C3-F7A7-9B8778DBC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20</xdr:row>
      <xdr:rowOff>28575</xdr:rowOff>
    </xdr:from>
    <xdr:to>
      <xdr:col>16</xdr:col>
      <xdr:colOff>285750</xdr:colOff>
      <xdr:row>39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2E647C1-F383-08DC-E5BC-E06684756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85725</xdr:colOff>
      <xdr:row>0</xdr:row>
      <xdr:rowOff>0</xdr:rowOff>
    </xdr:from>
    <xdr:to>
      <xdr:col>21</xdr:col>
      <xdr:colOff>304800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D11CF24-DEB5-8BB0-1463-773EE56B9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425781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2" width="10.28515625" customWidth="1"/>
    <col min="23" max="24" width="12.42578125" bestFit="1" customWidth="1"/>
  </cols>
  <sheetData>
    <row r="1" spans="1:27" ht="20.25" x14ac:dyDescent="0.3">
      <c r="A1" s="1" t="s">
        <v>42</v>
      </c>
      <c r="Y1" s="38" t="s">
        <v>66</v>
      </c>
      <c r="Z1" s="39">
        <v>2.8504098246374523E-2</v>
      </c>
    </row>
    <row r="2" spans="1:27" x14ac:dyDescent="0.2">
      <c r="A2" t="s">
        <v>19</v>
      </c>
      <c r="B2" s="10" t="s">
        <v>43</v>
      </c>
      <c r="Y2" s="40" t="s">
        <v>65</v>
      </c>
      <c r="Z2" s="41">
        <v>6483.3737569252635</v>
      </c>
    </row>
    <row r="3" spans="1:27" ht="13.5" thickBot="1" x14ac:dyDescent="0.25">
      <c r="C3" s="11"/>
      <c r="Y3" s="40" t="s">
        <v>64</v>
      </c>
      <c r="Z3" s="41">
        <v>9.2859536316845639E-2</v>
      </c>
    </row>
    <row r="4" spans="1:27" ht="14.25" thickTop="1" thickBot="1" x14ac:dyDescent="0.25">
      <c r="A4" s="6" t="s">
        <v>2</v>
      </c>
      <c r="C4" s="3">
        <v>34532.324999999997</v>
      </c>
      <c r="D4" s="4">
        <v>2.1641750000000002</v>
      </c>
      <c r="Y4" s="42" t="s">
        <v>5</v>
      </c>
      <c r="Z4" s="43">
        <v>20729.857622001422</v>
      </c>
      <c r="AA4" t="s">
        <v>60</v>
      </c>
    </row>
    <row r="5" spans="1:27" ht="13.5" thickTop="1" x14ac:dyDescent="0.2">
      <c r="A5" s="22" t="s">
        <v>34</v>
      </c>
      <c r="B5" s="16"/>
      <c r="C5" s="23">
        <v>-9.5</v>
      </c>
      <c r="D5" s="16" t="s">
        <v>35</v>
      </c>
      <c r="Y5" s="36" t="s">
        <v>63</v>
      </c>
      <c r="Z5">
        <f>Z4*C8</f>
        <v>38341.944657653825</v>
      </c>
      <c r="AA5" t="s">
        <v>61</v>
      </c>
    </row>
    <row r="6" spans="1:27" ht="13.5" thickBot="1" x14ac:dyDescent="0.25">
      <c r="A6" s="6" t="s">
        <v>3</v>
      </c>
      <c r="Z6">
        <f>Z5/365.24</f>
        <v>104.97739748563636</v>
      </c>
      <c r="AA6" t="s">
        <v>62</v>
      </c>
    </row>
    <row r="7" spans="1:27" ht="15" thickBot="1" x14ac:dyDescent="0.25">
      <c r="A7" t="s">
        <v>4</v>
      </c>
      <c r="C7">
        <v>34532.324999999997</v>
      </c>
      <c r="F7" s="34" t="s">
        <v>56</v>
      </c>
      <c r="W7" s="37" t="s">
        <v>68</v>
      </c>
      <c r="X7">
        <f>SUM(W21:X50)</f>
        <v>5.5666461361494404E-2</v>
      </c>
    </row>
    <row r="8" spans="1:27" ht="13.5" thickBot="1" x14ac:dyDescent="0.25">
      <c r="A8" t="s">
        <v>5</v>
      </c>
      <c r="C8">
        <v>1.8495999999999999</v>
      </c>
      <c r="D8" t="s">
        <v>55</v>
      </c>
      <c r="F8" s="35">
        <v>1.8496109999999999</v>
      </c>
    </row>
    <row r="9" spans="1:27" x14ac:dyDescent="0.2">
      <c r="A9" s="14" t="s">
        <v>31</v>
      </c>
      <c r="B9" s="14"/>
      <c r="C9" s="15">
        <v>38</v>
      </c>
      <c r="D9" s="15">
        <v>38</v>
      </c>
    </row>
    <row r="10" spans="1:27" ht="13.5" thickBot="1" x14ac:dyDescent="0.25">
      <c r="A10" s="16"/>
      <c r="B10" s="16"/>
      <c r="C10" s="5" t="s">
        <v>21</v>
      </c>
      <c r="D10" s="5" t="s">
        <v>22</v>
      </c>
      <c r="Y10" s="5" t="s">
        <v>57</v>
      </c>
      <c r="Z10" s="5" t="s">
        <v>58</v>
      </c>
      <c r="AA10" s="5" t="s">
        <v>59</v>
      </c>
    </row>
    <row r="11" spans="1:27" x14ac:dyDescent="0.2">
      <c r="A11" s="16" t="s">
        <v>16</v>
      </c>
      <c r="B11" s="16"/>
      <c r="C11" s="17">
        <f ca="1">INTERCEPT(INDIRECT(C14):R$935,INDIRECT(C13):$F$935)</f>
        <v>0.90393064817142921</v>
      </c>
      <c r="D11" s="17">
        <f ca="1">INTERCEPT(INDIRECT(D14):S$935,INDIRECT(D13):$F$935)</f>
        <v>-0.16077175990801251</v>
      </c>
      <c r="E11" s="14" t="s">
        <v>37</v>
      </c>
      <c r="F11">
        <v>1</v>
      </c>
      <c r="Y11">
        <v>0</v>
      </c>
      <c r="Z11">
        <f>$Z$3*SIN(($Y11-$Z$2)*2*PI()/$Z$4)+$Z$1</f>
        <v>-5.7229803597303508E-2</v>
      </c>
      <c r="AA11">
        <f t="shared" ref="AA11:AA42" si="0">-$Z$3*SIN(($Y11-$Z$2)*2*PI()/$Z$4)+$Z$1</f>
        <v>0.11423800009005255</v>
      </c>
    </row>
    <row r="12" spans="1:27" x14ac:dyDescent="0.2">
      <c r="A12" s="16" t="s">
        <v>17</v>
      </c>
      <c r="B12" s="16"/>
      <c r="C12" s="17">
        <f ca="1">SLOPE(INDIRECT(C14):R$935,INDIRECT(C13):$F$935)</f>
        <v>-6.5667033853613997E-5</v>
      </c>
      <c r="D12" s="17">
        <f ca="1">SLOPE(INDIRECT(D14):S$935,INDIRECT(D13):$F$935)</f>
        <v>8.3188300023626674E-6</v>
      </c>
      <c r="E12" s="14" t="s">
        <v>38</v>
      </c>
      <c r="F12" s="24">
        <f ca="1">NOW()+15018.5+$C$5/24</f>
        <v>59961.787583680554</v>
      </c>
      <c r="Y12">
        <v>250</v>
      </c>
      <c r="Z12">
        <f t="shared" ref="Z12:Z43" si="1">Z$3*SIN((Y12-Z$2)*2*PI()/Z$4)+Z$1</f>
        <v>-5.9684339481978876E-2</v>
      </c>
      <c r="AA12">
        <f t="shared" si="0"/>
        <v>0.11669253597472792</v>
      </c>
    </row>
    <row r="13" spans="1:27" x14ac:dyDescent="0.2">
      <c r="A13" s="14" t="s">
        <v>32</v>
      </c>
      <c r="B13" s="14"/>
      <c r="C13" s="15" t="str">
        <f>"F"&amp;C9</f>
        <v>F38</v>
      </c>
      <c r="D13" s="15" t="str">
        <f>"F"&amp;D9</f>
        <v>F38</v>
      </c>
      <c r="E13" s="14" t="s">
        <v>39</v>
      </c>
      <c r="F13" s="24">
        <f ca="1">ROUND(2*(F12-$C$7)/$C$8,0)/2+F11</f>
        <v>13749.5</v>
      </c>
      <c r="Y13">
        <v>500</v>
      </c>
      <c r="Z13">
        <f t="shared" si="1"/>
        <v>-6.1632758334771984E-2</v>
      </c>
      <c r="AA13">
        <f t="shared" si="0"/>
        <v>0.11864095482752103</v>
      </c>
    </row>
    <row r="14" spans="1:27" x14ac:dyDescent="0.2">
      <c r="A14" s="14" t="s">
        <v>33</v>
      </c>
      <c r="B14" s="14"/>
      <c r="C14" s="15" t="str">
        <f>"R"&amp;C9</f>
        <v>R38</v>
      </c>
      <c r="D14" s="15" t="str">
        <f>"S"&amp;D9</f>
        <v>S38</v>
      </c>
      <c r="E14" s="14" t="s">
        <v>40</v>
      </c>
      <c r="F14" s="25">
        <f ca="1">ROUND(2*(F12-$C$15)/$C$16,0)/2+F11</f>
        <v>696.5</v>
      </c>
      <c r="Y14">
        <v>750</v>
      </c>
      <c r="Z14">
        <f t="shared" si="1"/>
        <v>-6.3063878100619433E-2</v>
      </c>
      <c r="AA14">
        <f t="shared" si="0"/>
        <v>0.12007207459336848</v>
      </c>
    </row>
    <row r="15" spans="1:27" x14ac:dyDescent="0.2">
      <c r="A15" s="18" t="s">
        <v>18</v>
      </c>
      <c r="B15" s="16"/>
      <c r="C15" s="19">
        <f ca="1">($C7+C11)+($C8+C12)*INT(MAX($F21:$F3533))</f>
        <v>58675.200578855278</v>
      </c>
      <c r="D15" s="19">
        <f ca="1">($C7+D11)+($C8+D12)*INT(MAX($F21:$F3533))</f>
        <v>58675.101613928106</v>
      </c>
      <c r="E15" s="14" t="s">
        <v>41</v>
      </c>
      <c r="F15" s="26">
        <f ca="1">+$C$15+$C$16*F14-15018.5-$C$5/24</f>
        <v>44945.297075099537</v>
      </c>
      <c r="Y15">
        <v>1000</v>
      </c>
      <c r="Z15">
        <f t="shared" si="1"/>
        <v>-6.3969485524962941E-2</v>
      </c>
      <c r="AA15">
        <f t="shared" si="0"/>
        <v>0.12097768201771199</v>
      </c>
    </row>
    <row r="16" spans="1:27" x14ac:dyDescent="0.2">
      <c r="A16" s="20" t="s">
        <v>6</v>
      </c>
      <c r="B16" s="16"/>
      <c r="C16" s="21">
        <f ca="1">+$C8+C12</f>
        <v>1.8495343329661462</v>
      </c>
      <c r="D16" s="17">
        <f ca="1">+$C8+D12</f>
        <v>1.8496083188300023</v>
      </c>
      <c r="E16" s="27"/>
      <c r="F16" s="27" t="s">
        <v>36</v>
      </c>
      <c r="Y16">
        <v>1250</v>
      </c>
      <c r="Z16">
        <f t="shared" si="1"/>
        <v>-6.4344383289951457E-2</v>
      </c>
      <c r="AA16">
        <f t="shared" si="0"/>
        <v>0.1213525797827005</v>
      </c>
    </row>
    <row r="17" spans="1:27" ht="13.5" thickBot="1" x14ac:dyDescent="0.25">
      <c r="A17" s="13" t="s">
        <v>30</v>
      </c>
      <c r="C17">
        <f>COUNT(C21:C1247)</f>
        <v>31</v>
      </c>
      <c r="Y17">
        <v>1500</v>
      </c>
      <c r="Z17">
        <f t="shared" si="1"/>
        <v>-6.4186419842059833E-2</v>
      </c>
      <c r="AA17">
        <f t="shared" si="0"/>
        <v>0.12119461633480888</v>
      </c>
    </row>
    <row r="18" spans="1:27" ht="14.25" thickTop="1" thickBot="1" x14ac:dyDescent="0.25">
      <c r="A18" s="6" t="s">
        <v>24</v>
      </c>
      <c r="C18" s="3">
        <f ca="1">+C15</f>
        <v>58675.200578855278</v>
      </c>
      <c r="D18" s="4">
        <f ca="1">+C16</f>
        <v>1.8495343329661462</v>
      </c>
      <c r="E18" s="28">
        <f>R19</f>
        <v>18</v>
      </c>
      <c r="Y18">
        <v>1750</v>
      </c>
      <c r="Z18">
        <f t="shared" si="1"/>
        <v>-6.3496501739941896E-2</v>
      </c>
      <c r="AA18">
        <f t="shared" si="0"/>
        <v>0.12050469823269094</v>
      </c>
    </row>
    <row r="19" spans="1:27" ht="14.25" thickTop="1" thickBot="1" x14ac:dyDescent="0.25">
      <c r="A19" s="6" t="s">
        <v>25</v>
      </c>
      <c r="C19" s="3">
        <f ca="1">+D15</f>
        <v>58675.101613928106</v>
      </c>
      <c r="D19" s="4">
        <f ca="1">+D16</f>
        <v>1.8496083188300023</v>
      </c>
      <c r="E19" s="28">
        <f>S19</f>
        <v>11</v>
      </c>
      <c r="R19">
        <f>COUNT(R21:R322)</f>
        <v>18</v>
      </c>
      <c r="S19">
        <f>COUNT(S21:S322)</f>
        <v>11</v>
      </c>
      <c r="Y19">
        <v>2000</v>
      </c>
      <c r="Z19">
        <f t="shared" si="1"/>
        <v>-6.2278588451653571E-2</v>
      </c>
      <c r="AA19">
        <f t="shared" si="0"/>
        <v>0.11928678494440262</v>
      </c>
    </row>
    <row r="20" spans="1:27" ht="15.75" thickTop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50</v>
      </c>
      <c r="I20" s="8" t="s">
        <v>51</v>
      </c>
      <c r="J20" s="8" t="s">
        <v>52</v>
      </c>
      <c r="K20" s="8" t="s">
        <v>53</v>
      </c>
      <c r="L20" s="8" t="s">
        <v>28</v>
      </c>
      <c r="M20" s="8" t="s">
        <v>20</v>
      </c>
      <c r="N20" s="8" t="s">
        <v>23</v>
      </c>
      <c r="O20" s="8" t="s">
        <v>26</v>
      </c>
      <c r="P20" s="7" t="s">
        <v>27</v>
      </c>
      <c r="Q20" s="5" t="s">
        <v>15</v>
      </c>
      <c r="R20" s="9" t="s">
        <v>21</v>
      </c>
      <c r="S20" s="9" t="s">
        <v>22</v>
      </c>
      <c r="T20" s="5" t="s">
        <v>54</v>
      </c>
      <c r="U20" s="5" t="s">
        <v>58</v>
      </c>
      <c r="V20" s="5" t="s">
        <v>59</v>
      </c>
      <c r="W20" s="37" t="s">
        <v>67</v>
      </c>
      <c r="X20" s="37" t="s">
        <v>67</v>
      </c>
      <c r="Y20">
        <v>2250</v>
      </c>
      <c r="Z20">
        <f t="shared" si="1"/>
        <v>-6.0539669631104534E-2</v>
      </c>
      <c r="AA20">
        <f t="shared" si="0"/>
        <v>0.11754786612385358</v>
      </c>
    </row>
    <row r="21" spans="1:27" x14ac:dyDescent="0.2">
      <c r="A21" s="29" t="s">
        <v>13</v>
      </c>
      <c r="B21" s="29"/>
      <c r="C21" s="12">
        <v>34532.324999999997</v>
      </c>
      <c r="D21" s="12" t="s">
        <v>29</v>
      </c>
      <c r="E21">
        <f t="shared" ref="E21:E45" si="2">+(C21-C$7)/C$8</f>
        <v>0</v>
      </c>
      <c r="F21">
        <f t="shared" ref="F21:F48" si="3">ROUND(2*E21,0)/2</f>
        <v>0</v>
      </c>
      <c r="G21">
        <f t="shared" ref="G21:G45" si="4">+C21-(C$7+F21*C$8)</f>
        <v>0</v>
      </c>
      <c r="Q21" s="2">
        <f t="shared" ref="Q21:Q45" si="5">+C21-15018.5</f>
        <v>19513.824999999997</v>
      </c>
      <c r="T21">
        <f>+G21</f>
        <v>0</v>
      </c>
      <c r="Y21">
        <v>2500</v>
      </c>
      <c r="Z21">
        <f t="shared" si="1"/>
        <v>-5.8289725004150167E-2</v>
      </c>
      <c r="AA21">
        <f t="shared" si="0"/>
        <v>0.11529792149689921</v>
      </c>
    </row>
    <row r="22" spans="1:27" x14ac:dyDescent="0.2">
      <c r="A22" s="29" t="s">
        <v>44</v>
      </c>
      <c r="B22" s="30"/>
      <c r="C22" s="12">
        <v>42970.415999999997</v>
      </c>
      <c r="D22" s="12"/>
      <c r="E22">
        <f t="shared" si="2"/>
        <v>4562.1166738754328</v>
      </c>
      <c r="F22">
        <f t="shared" si="3"/>
        <v>4562</v>
      </c>
      <c r="G22">
        <f t="shared" si="4"/>
        <v>0.21579999999812571</v>
      </c>
      <c r="Q22" s="2">
        <f t="shared" si="5"/>
        <v>27951.915999999997</v>
      </c>
      <c r="T22">
        <f>+G22</f>
        <v>0.21579999999812571</v>
      </c>
      <c r="Y22">
        <v>2750</v>
      </c>
      <c r="Z22">
        <f t="shared" si="1"/>
        <v>-5.5541667094538755E-2</v>
      </c>
      <c r="AA22">
        <f t="shared" si="0"/>
        <v>0.1125498635872878</v>
      </c>
    </row>
    <row r="23" spans="1:27" x14ac:dyDescent="0.2">
      <c r="A23" s="29" t="s">
        <v>45</v>
      </c>
      <c r="B23" s="30"/>
      <c r="C23" s="12">
        <v>46135.826800000003</v>
      </c>
      <c r="D23" s="12"/>
      <c r="E23">
        <f t="shared" si="2"/>
        <v>6273.5195717993111</v>
      </c>
      <c r="F23">
        <f t="shared" si="3"/>
        <v>6273.5</v>
      </c>
      <c r="G23">
        <f t="shared" si="4"/>
        <v>3.6200000009557698E-2</v>
      </c>
      <c r="H23">
        <f t="shared" ref="H23:H48" si="6">+G23</f>
        <v>3.6200000009557698E-2</v>
      </c>
      <c r="Q23" s="2">
        <f t="shared" si="5"/>
        <v>31117.326800000003</v>
      </c>
      <c r="S23">
        <f>G23</f>
        <v>3.6200000009557698E-2</v>
      </c>
      <c r="V23">
        <f>-$Z$3*SIN(($F23-$Z$2)*2*PI()/$Z$4)+$Z$1</f>
        <v>3.4407131899624133E-2</v>
      </c>
      <c r="X23">
        <f>(S23-V23)^2</f>
        <v>3.2143760596167545E-6</v>
      </c>
      <c r="Y23">
        <v>3000</v>
      </c>
      <c r="Z23">
        <f t="shared" si="1"/>
        <v>-5.2311267118412455E-2</v>
      </c>
      <c r="AA23">
        <f t="shared" si="0"/>
        <v>0.1093194636111615</v>
      </c>
    </row>
    <row r="24" spans="1:27" x14ac:dyDescent="0.2">
      <c r="A24" s="29" t="s">
        <v>45</v>
      </c>
      <c r="B24" s="30"/>
      <c r="C24" s="12">
        <v>46136.739699999998</v>
      </c>
      <c r="D24" s="12"/>
      <c r="E24">
        <f t="shared" si="2"/>
        <v>6274.0131379757795</v>
      </c>
      <c r="F24">
        <f t="shared" si="3"/>
        <v>6274</v>
      </c>
      <c r="G24">
        <f t="shared" si="4"/>
        <v>2.4299999997310806E-2</v>
      </c>
      <c r="H24">
        <f t="shared" si="6"/>
        <v>2.4299999997310806E-2</v>
      </c>
      <c r="Q24" s="2">
        <f t="shared" si="5"/>
        <v>31118.239699999998</v>
      </c>
      <c r="R24">
        <f>G24</f>
        <v>2.4299999997310806E-2</v>
      </c>
      <c r="U24">
        <f t="shared" ref="U24:U45" si="7">Z$3*SIN((F24-Z$2)*2*PI()/Z$4)+Z$1</f>
        <v>2.2615108982817399E-2</v>
      </c>
      <c r="W24">
        <f>(R24-U24)^2</f>
        <v>2.8388577307206233E-6</v>
      </c>
      <c r="Y24">
        <v>3250</v>
      </c>
      <c r="Z24">
        <f t="shared" si="1"/>
        <v>-4.8617064472656235E-2</v>
      </c>
      <c r="AA24">
        <f t="shared" si="0"/>
        <v>0.10562526096540528</v>
      </c>
    </row>
    <row r="25" spans="1:27" x14ac:dyDescent="0.2">
      <c r="A25" s="29" t="s">
        <v>45</v>
      </c>
      <c r="B25" s="30" t="s">
        <v>46</v>
      </c>
      <c r="C25" s="12">
        <v>46148.773300000001</v>
      </c>
      <c r="D25" s="12"/>
      <c r="E25">
        <f t="shared" si="2"/>
        <v>6280.5191933391025</v>
      </c>
      <c r="F25">
        <f t="shared" si="3"/>
        <v>6280.5</v>
      </c>
      <c r="G25">
        <f t="shared" si="4"/>
        <v>3.5500000005413312E-2</v>
      </c>
      <c r="H25">
        <f t="shared" si="6"/>
        <v>3.5500000005413312E-2</v>
      </c>
      <c r="Q25" s="2">
        <f t="shared" si="5"/>
        <v>31130.273300000001</v>
      </c>
      <c r="S25">
        <f>G25</f>
        <v>3.5500000005413312E-2</v>
      </c>
      <c r="V25">
        <f>-$Z$3*SIN(($F25-$Z$2)*2*PI()/$Z$4)+$Z$1</f>
        <v>3.4210498253294981E-2</v>
      </c>
      <c r="X25">
        <f>(S25-V25)^2</f>
        <v>1.6628147687162464E-6</v>
      </c>
      <c r="Y25">
        <v>3500</v>
      </c>
      <c r="Z25">
        <f t="shared" si="1"/>
        <v>-4.4480260336544841E-2</v>
      </c>
      <c r="AA25">
        <f t="shared" si="0"/>
        <v>0.10148845682929389</v>
      </c>
    </row>
    <row r="26" spans="1:27" x14ac:dyDescent="0.2">
      <c r="A26" s="29" t="s">
        <v>45</v>
      </c>
      <c r="B26" s="30"/>
      <c r="C26" s="12">
        <v>46149.684399999998</v>
      </c>
      <c r="D26" s="12"/>
      <c r="E26">
        <f t="shared" si="2"/>
        <v>6281.0117863321811</v>
      </c>
      <c r="F26">
        <f t="shared" si="3"/>
        <v>6281</v>
      </c>
      <c r="G26">
        <f t="shared" si="4"/>
        <v>2.1800000002258457E-2</v>
      </c>
      <c r="H26">
        <f t="shared" si="6"/>
        <v>2.1800000002258457E-2</v>
      </c>
      <c r="Q26" s="2">
        <f t="shared" si="5"/>
        <v>31131.184399999998</v>
      </c>
      <c r="R26">
        <f>G26</f>
        <v>2.1800000002258457E-2</v>
      </c>
      <c r="U26">
        <f t="shared" si="7"/>
        <v>2.2811744493338421E-2</v>
      </c>
      <c r="W26">
        <f>(R26-U26)^2</f>
        <v>1.023626915230654E-6</v>
      </c>
      <c r="Y26">
        <v>3750</v>
      </c>
      <c r="Z26">
        <f t="shared" si="1"/>
        <v>-3.9924595997312559E-2</v>
      </c>
      <c r="AA26">
        <f t="shared" si="0"/>
        <v>9.6932792490061606E-2</v>
      </c>
    </row>
    <row r="27" spans="1:27" x14ac:dyDescent="0.2">
      <c r="A27" s="29" t="s">
        <v>45</v>
      </c>
      <c r="B27" s="30" t="s">
        <v>46</v>
      </c>
      <c r="C27" s="12">
        <v>46836.812299999998</v>
      </c>
      <c r="D27" s="12"/>
      <c r="E27">
        <f t="shared" si="2"/>
        <v>6652.5125973183394</v>
      </c>
      <c r="F27">
        <f t="shared" si="3"/>
        <v>6652.5</v>
      </c>
      <c r="G27">
        <f t="shared" si="4"/>
        <v>2.3300000000745058E-2</v>
      </c>
      <c r="H27">
        <f t="shared" si="6"/>
        <v>2.3300000000745058E-2</v>
      </c>
      <c r="Q27" s="2">
        <f t="shared" si="5"/>
        <v>31818.312299999998</v>
      </c>
      <c r="S27">
        <f>G27</f>
        <v>2.3300000000745058E-2</v>
      </c>
      <c r="V27">
        <f>-$Z$3*SIN(($F27-$Z$2)*2*PI()/$Z$4)+$Z$1</f>
        <v>2.3746028106978716E-2</v>
      </c>
      <c r="X27">
        <f>(S27-V27)^2</f>
        <v>1.9894107155038364E-7</v>
      </c>
      <c r="Y27">
        <v>4000</v>
      </c>
      <c r="Z27">
        <f t="shared" si="1"/>
        <v>-3.4976216597939702E-2</v>
      </c>
      <c r="AA27">
        <f t="shared" si="0"/>
        <v>9.1984413090688749E-2</v>
      </c>
    </row>
    <row r="28" spans="1:27" x14ac:dyDescent="0.2">
      <c r="A28" s="29" t="s">
        <v>45</v>
      </c>
      <c r="B28" s="30"/>
      <c r="C28" s="12">
        <v>46874.740100000003</v>
      </c>
      <c r="D28" s="12"/>
      <c r="E28">
        <f t="shared" si="2"/>
        <v>6673.0185445501766</v>
      </c>
      <c r="F28">
        <f t="shared" si="3"/>
        <v>6673</v>
      </c>
      <c r="G28">
        <f t="shared" si="4"/>
        <v>3.4300000006624032E-2</v>
      </c>
      <c r="H28">
        <f t="shared" si="6"/>
        <v>3.4300000006624032E-2</v>
      </c>
      <c r="Q28" s="2">
        <f t="shared" si="5"/>
        <v>31856.240100000003</v>
      </c>
      <c r="R28">
        <f>G28</f>
        <v>3.4300000006624032E-2</v>
      </c>
      <c r="U28">
        <f t="shared" si="7"/>
        <v>3.3838299101317124E-2</v>
      </c>
      <c r="W28">
        <f>(R28-U28)^2</f>
        <v>2.1316772596121863E-7</v>
      </c>
      <c r="Y28">
        <v>4250</v>
      </c>
      <c r="Z28">
        <f t="shared" si="1"/>
        <v>-2.9663521089113604E-2</v>
      </c>
      <c r="AA28">
        <f t="shared" si="0"/>
        <v>8.6671717581862651E-2</v>
      </c>
    </row>
    <row r="29" spans="1:27" x14ac:dyDescent="0.2">
      <c r="A29" s="29" t="s">
        <v>45</v>
      </c>
      <c r="B29" s="30" t="s">
        <v>46</v>
      </c>
      <c r="C29" s="12">
        <v>47241.87</v>
      </c>
      <c r="D29" s="12"/>
      <c r="E29">
        <f t="shared" si="2"/>
        <v>6871.5100562283769</v>
      </c>
      <c r="F29">
        <f t="shared" si="3"/>
        <v>6871.5</v>
      </c>
      <c r="G29">
        <f t="shared" si="4"/>
        <v>1.8600000003061723E-2</v>
      </c>
      <c r="H29">
        <f t="shared" si="6"/>
        <v>1.8600000003061723E-2</v>
      </c>
      <c r="Q29" s="2">
        <f t="shared" si="5"/>
        <v>32223.370000000003</v>
      </c>
      <c r="S29">
        <f>G29</f>
        <v>1.8600000003061723E-2</v>
      </c>
      <c r="V29">
        <f>-$Z$3*SIN(($F29-$Z$2)*2*PI()/$Z$4)+$Z$1</f>
        <v>1.7605242958287338E-2</v>
      </c>
      <c r="X29">
        <f>(S29-V29)^2</f>
        <v>9.8954157812826669E-7</v>
      </c>
      <c r="Y29">
        <v>4500</v>
      </c>
      <c r="Z29">
        <f t="shared" si="1"/>
        <v>-2.4016999246495148E-2</v>
      </c>
      <c r="AA29">
        <f t="shared" si="0"/>
        <v>8.1025195739244188E-2</v>
      </c>
    </row>
    <row r="30" spans="1:27" x14ac:dyDescent="0.2">
      <c r="A30" s="29" t="s">
        <v>45</v>
      </c>
      <c r="B30" s="30" t="s">
        <v>46</v>
      </c>
      <c r="C30" s="12">
        <v>47243.717700000001</v>
      </c>
      <c r="D30" s="12"/>
      <c r="E30">
        <f t="shared" si="2"/>
        <v>6872.5090289792415</v>
      </c>
      <c r="F30">
        <f t="shared" si="3"/>
        <v>6872.5</v>
      </c>
      <c r="G30">
        <f t="shared" si="4"/>
        <v>1.6700000000128057E-2</v>
      </c>
      <c r="H30">
        <f t="shared" si="6"/>
        <v>1.6700000000128057E-2</v>
      </c>
      <c r="Q30" s="2">
        <f t="shared" si="5"/>
        <v>32225.217700000001</v>
      </c>
      <c r="S30">
        <f>G30</f>
        <v>1.6700000000128057E-2</v>
      </c>
      <c r="V30">
        <f>-$Z$3*SIN(($F30-$Z$2)*2*PI()/$Z$4)+$Z$1</f>
        <v>1.7577292421144315E-2</v>
      </c>
      <c r="X30">
        <f>(S30-V30)^2</f>
        <v>7.6964199197256786E-7</v>
      </c>
      <c r="Y30">
        <v>4750</v>
      </c>
      <c r="Z30">
        <f t="shared" si="1"/>
        <v>-1.8069056688655862E-2</v>
      </c>
      <c r="AA30">
        <f t="shared" si="0"/>
        <v>7.5077253181404902E-2</v>
      </c>
    </row>
    <row r="31" spans="1:27" x14ac:dyDescent="0.2">
      <c r="A31" s="29" t="s">
        <v>45</v>
      </c>
      <c r="B31" s="30"/>
      <c r="C31" s="12">
        <v>47586.845300000001</v>
      </c>
      <c r="D31" s="12"/>
      <c r="E31">
        <f t="shared" si="2"/>
        <v>7058.0235185986185</v>
      </c>
      <c r="F31">
        <f t="shared" si="3"/>
        <v>7058</v>
      </c>
      <c r="G31">
        <f t="shared" si="4"/>
        <v>4.3500000007043127E-2</v>
      </c>
      <c r="H31">
        <f t="shared" si="6"/>
        <v>4.3500000007043127E-2</v>
      </c>
      <c r="Q31" s="2">
        <f t="shared" si="5"/>
        <v>32568.345300000001</v>
      </c>
      <c r="R31">
        <f>G31</f>
        <v>4.3500000007043127E-2</v>
      </c>
      <c r="U31">
        <f t="shared" si="7"/>
        <v>4.4595637959259533E-2</v>
      </c>
      <c r="W31">
        <f>(R31-U31)^2</f>
        <v>1.2004225223369604E-6</v>
      </c>
      <c r="Y31">
        <v>5000</v>
      </c>
      <c r="Z31">
        <f t="shared" si="1"/>
        <v>-1.185382889991457E-2</v>
      </c>
      <c r="AA31">
        <f t="shared" si="0"/>
        <v>6.8862025392663617E-2</v>
      </c>
    </row>
    <row r="32" spans="1:27" x14ac:dyDescent="0.2">
      <c r="A32" s="29" t="s">
        <v>45</v>
      </c>
      <c r="B32" s="30" t="s">
        <v>46</v>
      </c>
      <c r="C32" s="12">
        <v>47648.773399999998</v>
      </c>
      <c r="D32" s="12"/>
      <c r="E32">
        <f t="shared" si="2"/>
        <v>7091.5054065743952</v>
      </c>
      <c r="F32">
        <f t="shared" si="3"/>
        <v>7091.5</v>
      </c>
      <c r="G32">
        <f t="shared" si="4"/>
        <v>1.0000000002037268E-2</v>
      </c>
      <c r="H32">
        <f t="shared" si="6"/>
        <v>1.0000000002037268E-2</v>
      </c>
      <c r="Q32" s="2">
        <f t="shared" si="5"/>
        <v>32630.273399999998</v>
      </c>
      <c r="S32">
        <f>G32</f>
        <v>1.0000000002037268E-2</v>
      </c>
      <c r="V32">
        <f>-$Z$3*SIN(($F32-$Z$2)*2*PI()/$Z$4)+$Z$1</f>
        <v>1.1484792147590336E-2</v>
      </c>
      <c r="X32">
        <f>(S32-V32)^2</f>
        <v>2.2046077154960837E-6</v>
      </c>
      <c r="Y32">
        <v>5250</v>
      </c>
      <c r="Z32">
        <f t="shared" si="1"/>
        <v>-5.4069853254042344E-3</v>
      </c>
      <c r="AA32">
        <f t="shared" si="0"/>
        <v>6.2415181818153281E-2</v>
      </c>
    </row>
    <row r="33" spans="1:27" x14ac:dyDescent="0.2">
      <c r="A33" s="29" t="s">
        <v>45</v>
      </c>
      <c r="B33" s="30"/>
      <c r="C33" s="12">
        <v>47675.6276</v>
      </c>
      <c r="D33" s="12"/>
      <c r="E33">
        <f t="shared" si="2"/>
        <v>7106.0243295847768</v>
      </c>
      <c r="F33">
        <f t="shared" si="3"/>
        <v>7106</v>
      </c>
      <c r="G33">
        <f t="shared" si="4"/>
        <v>4.5000000005529728E-2</v>
      </c>
      <c r="H33">
        <f t="shared" si="6"/>
        <v>4.5000000005529728E-2</v>
      </c>
      <c r="Q33" s="2">
        <f t="shared" si="5"/>
        <v>32657.1276</v>
      </c>
      <c r="R33">
        <f>G33</f>
        <v>4.5000000005529728E-2</v>
      </c>
      <c r="U33">
        <f t="shared" si="7"/>
        <v>4.592443636436791E-2</v>
      </c>
      <c r="W33">
        <f>(R33-U33)^2</f>
        <v>8.5458258154199612E-7</v>
      </c>
      <c r="Y33">
        <v>5500</v>
      </c>
      <c r="Z33">
        <f t="shared" si="1"/>
        <v>1.2344753373249272E-3</v>
      </c>
      <c r="AA33">
        <f t="shared" si="0"/>
        <v>5.5773721155424116E-2</v>
      </c>
    </row>
    <row r="34" spans="1:27" x14ac:dyDescent="0.2">
      <c r="A34" s="29" t="s">
        <v>45</v>
      </c>
      <c r="B34" s="30" t="s">
        <v>46</v>
      </c>
      <c r="C34" s="12">
        <v>47676.516600000003</v>
      </c>
      <c r="D34" s="12"/>
      <c r="E34">
        <f t="shared" si="2"/>
        <v>7106.5049740484465</v>
      </c>
      <c r="F34">
        <f t="shared" si="3"/>
        <v>7106.5</v>
      </c>
      <c r="G34">
        <f t="shared" si="4"/>
        <v>9.2000000076950528E-3</v>
      </c>
      <c r="H34">
        <f t="shared" si="6"/>
        <v>9.2000000076950528E-3</v>
      </c>
      <c r="Q34" s="2">
        <f t="shared" si="5"/>
        <v>32658.016600000003</v>
      </c>
      <c r="S34">
        <f>G34</f>
        <v>9.2000000076950528E-3</v>
      </c>
      <c r="V34">
        <f>-$Z$3*SIN(($F34-$Z$2)*2*PI()/$Z$4)+$Z$1</f>
        <v>1.106993739504079E-2</v>
      </c>
      <c r="X34">
        <f>(S34-V34)^2</f>
        <v>3.4966658325934025E-6</v>
      </c>
      <c r="Y34">
        <v>5750</v>
      </c>
      <c r="Z34">
        <f t="shared" si="1"/>
        <v>8.0324374753357949E-3</v>
      </c>
      <c r="AA34">
        <f t="shared" si="0"/>
        <v>4.8975759017413252E-2</v>
      </c>
    </row>
    <row r="35" spans="1:27" x14ac:dyDescent="0.2">
      <c r="A35" s="29" t="s">
        <v>45</v>
      </c>
      <c r="B35" s="30"/>
      <c r="C35" s="12">
        <v>48363.6878</v>
      </c>
      <c r="D35" s="12"/>
      <c r="E35">
        <f t="shared" si="2"/>
        <v>7478.0291955017319</v>
      </c>
      <c r="F35">
        <f t="shared" si="3"/>
        <v>7478</v>
      </c>
      <c r="G35">
        <f t="shared" si="4"/>
        <v>5.400000000372529E-2</v>
      </c>
      <c r="H35">
        <f t="shared" si="6"/>
        <v>5.400000000372529E-2</v>
      </c>
      <c r="Q35" s="2">
        <f t="shared" si="5"/>
        <v>33345.1878</v>
      </c>
      <c r="R35">
        <f>G35</f>
        <v>5.400000000372529E-2</v>
      </c>
      <c r="U35">
        <f t="shared" si="7"/>
        <v>5.6076305434444931E-2</v>
      </c>
      <c r="W35">
        <f>(R35-U35)^2</f>
        <v>4.3110442416358742E-6</v>
      </c>
      <c r="Y35">
        <v>6000</v>
      </c>
      <c r="Z35">
        <f t="shared" si="1"/>
        <v>1.4947887307357669E-2</v>
      </c>
      <c r="AA35">
        <f t="shared" si="0"/>
        <v>4.206030918539138E-2</v>
      </c>
    </row>
    <row r="36" spans="1:27" x14ac:dyDescent="0.2">
      <c r="A36" s="29" t="s">
        <v>45</v>
      </c>
      <c r="B36" s="30" t="s">
        <v>46</v>
      </c>
      <c r="C36" s="12">
        <v>48373.804700000001</v>
      </c>
      <c r="D36" s="12"/>
      <c r="E36">
        <f t="shared" si="2"/>
        <v>7483.4989727508673</v>
      </c>
      <c r="F36">
        <f t="shared" si="3"/>
        <v>7483.5</v>
      </c>
      <c r="G36">
        <f t="shared" si="4"/>
        <v>-1.8999999956577085E-3</v>
      </c>
      <c r="H36">
        <f t="shared" si="6"/>
        <v>-1.8999999956577085E-3</v>
      </c>
      <c r="O36">
        <f t="shared" ref="O36:O45" ca="1" si="8">+C$11+C$12*$F36</f>
        <v>0.41251140032790884</v>
      </c>
      <c r="P36">
        <f t="shared" ref="P36:P45" ca="1" si="9">+D$11+D$12*$F36</f>
        <v>-9.8517795585331497E-2</v>
      </c>
      <c r="Q36" s="2">
        <f t="shared" si="5"/>
        <v>33355.304700000001</v>
      </c>
      <c r="S36">
        <f>G36</f>
        <v>-1.8999999956577085E-3</v>
      </c>
      <c r="V36">
        <f>-$Z$3*SIN(($F36-$Z$2)*2*PI()/$Z$4)+$Z$1</f>
        <v>7.84110126701279E-4</v>
      </c>
      <c r="X36">
        <f>(S36-V36)^2</f>
        <v>7.2044471489499791E-6</v>
      </c>
      <c r="Y36">
        <v>6250</v>
      </c>
      <c r="Z36">
        <f t="shared" si="1"/>
        <v>2.1941136785464201E-2</v>
      </c>
      <c r="AA36">
        <f t="shared" si="0"/>
        <v>3.5067059707284846E-2</v>
      </c>
    </row>
    <row r="37" spans="1:27" x14ac:dyDescent="0.2">
      <c r="A37" s="31" t="s">
        <v>47</v>
      </c>
      <c r="B37" s="32" t="s">
        <v>46</v>
      </c>
      <c r="C37" s="33">
        <v>55401.483999999997</v>
      </c>
      <c r="D37" s="33">
        <v>0.01</v>
      </c>
      <c r="E37">
        <f t="shared" si="2"/>
        <v>11283.066068339102</v>
      </c>
      <c r="F37">
        <f t="shared" si="3"/>
        <v>11283</v>
      </c>
      <c r="G37">
        <f t="shared" si="4"/>
        <v>0.12219999999797437</v>
      </c>
      <c r="H37">
        <f t="shared" si="6"/>
        <v>0.12219999999797437</v>
      </c>
      <c r="O37">
        <f t="shared" ca="1" si="8"/>
        <v>0.16300950520110247</v>
      </c>
      <c r="P37">
        <f t="shared" ca="1" si="9"/>
        <v>-6.6910400991354535E-2</v>
      </c>
      <c r="Q37" s="2">
        <f t="shared" si="5"/>
        <v>40382.983999999997</v>
      </c>
      <c r="R37">
        <f>G37</f>
        <v>0.12219999999797437</v>
      </c>
      <c r="U37">
        <f t="shared" si="7"/>
        <v>0.12073917157939323</v>
      </c>
      <c r="W37">
        <f>(R37-U37)^2</f>
        <v>2.1340196685342724E-6</v>
      </c>
      <c r="Y37">
        <v>6500</v>
      </c>
      <c r="Z37">
        <f t="shared" si="1"/>
        <v>2.8972051366395035E-2</v>
      </c>
      <c r="AA37">
        <f t="shared" si="0"/>
        <v>2.8036145126354012E-2</v>
      </c>
    </row>
    <row r="38" spans="1:27" x14ac:dyDescent="0.2">
      <c r="A38" s="44" t="s">
        <v>48</v>
      </c>
      <c r="B38" s="45" t="s">
        <v>49</v>
      </c>
      <c r="C38" s="44">
        <v>56058.090900000003</v>
      </c>
      <c r="D38" s="44">
        <v>1.4E-3</v>
      </c>
      <c r="E38">
        <f t="shared" si="2"/>
        <v>11638.065473615921</v>
      </c>
      <c r="F38">
        <f t="shared" si="3"/>
        <v>11638</v>
      </c>
      <c r="G38">
        <f t="shared" si="4"/>
        <v>0.1211000000112108</v>
      </c>
      <c r="H38">
        <f t="shared" si="6"/>
        <v>0.1211000000112108</v>
      </c>
      <c r="O38">
        <f t="shared" ca="1" si="8"/>
        <v>0.13969770818306948</v>
      </c>
      <c r="P38">
        <f t="shared" ca="1" si="9"/>
        <v>-6.3957216340515793E-2</v>
      </c>
      <c r="Q38" s="2">
        <f t="shared" si="5"/>
        <v>41039.590900000003</v>
      </c>
      <c r="R38">
        <f>G38</f>
        <v>0.1211000000112108</v>
      </c>
      <c r="U38">
        <f t="shared" si="7"/>
        <v>0.121360329025133</v>
      </c>
      <c r="W38">
        <f>(R38-U38)^2</f>
        <v>6.7771195489705161E-8</v>
      </c>
      <c r="Y38">
        <v>6750</v>
      </c>
      <c r="Z38">
        <f t="shared" si="1"/>
        <v>3.6000280345332397E-2</v>
      </c>
      <c r="AA38">
        <f t="shared" si="0"/>
        <v>2.1007916147416653E-2</v>
      </c>
    </row>
    <row r="39" spans="1:27" x14ac:dyDescent="0.2">
      <c r="A39" s="44" t="s">
        <v>48</v>
      </c>
      <c r="B39" s="45" t="s">
        <v>49</v>
      </c>
      <c r="C39" s="44">
        <v>56069.188499999997</v>
      </c>
      <c r="D39" s="44">
        <v>1.2999999999999999E-3</v>
      </c>
      <c r="E39">
        <f t="shared" si="2"/>
        <v>11644.065473615918</v>
      </c>
      <c r="F39">
        <f t="shared" si="3"/>
        <v>11644</v>
      </c>
      <c r="G39">
        <f t="shared" si="4"/>
        <v>0.12109999999665888</v>
      </c>
      <c r="H39">
        <f t="shared" si="6"/>
        <v>0.12109999999665888</v>
      </c>
      <c r="O39">
        <f t="shared" ca="1" si="8"/>
        <v>0.13930370597994779</v>
      </c>
      <c r="P39">
        <f t="shared" ca="1" si="9"/>
        <v>-6.3907303360501613E-2</v>
      </c>
      <c r="Q39" s="2">
        <f t="shared" si="5"/>
        <v>41050.688499999997</v>
      </c>
      <c r="R39">
        <f>G39</f>
        <v>0.12109999999665888</v>
      </c>
      <c r="U39">
        <f t="shared" si="7"/>
        <v>0.12136160036059108</v>
      </c>
      <c r="W39">
        <f>(R39-U39)^2</f>
        <v>6.8434750409461864E-8</v>
      </c>
      <c r="Y39">
        <v>7000</v>
      </c>
      <c r="Z39">
        <f t="shared" si="1"/>
        <v>4.2985488430237598E-2</v>
      </c>
      <c r="AA39">
        <f t="shared" si="0"/>
        <v>1.4022708062511453E-2</v>
      </c>
    </row>
    <row r="40" spans="1:27" x14ac:dyDescent="0.2">
      <c r="A40" s="44" t="s">
        <v>48</v>
      </c>
      <c r="B40" s="45" t="s">
        <v>46</v>
      </c>
      <c r="C40" s="44">
        <v>56069.928999999996</v>
      </c>
      <c r="D40" s="44">
        <v>2E-3</v>
      </c>
      <c r="E40">
        <f t="shared" si="2"/>
        <v>11644.465830449828</v>
      </c>
      <c r="F40">
        <f t="shared" si="3"/>
        <v>11644.5</v>
      </c>
      <c r="G40">
        <f t="shared" si="4"/>
        <v>-6.3199999996868428E-2</v>
      </c>
      <c r="H40">
        <f t="shared" si="6"/>
        <v>-6.3199999996868428E-2</v>
      </c>
      <c r="O40">
        <f t="shared" ca="1" si="8"/>
        <v>0.13927087246302106</v>
      </c>
      <c r="P40">
        <f t="shared" ca="1" si="9"/>
        <v>-6.3903143945500437E-2</v>
      </c>
      <c r="Q40" s="2">
        <f t="shared" si="5"/>
        <v>41051.428999999996</v>
      </c>
      <c r="S40">
        <f>G40</f>
        <v>-6.3199999996868428E-2</v>
      </c>
      <c r="V40">
        <f>-$Z$3*SIN(($F40-$Z$2)*2*PI()/$Z$4)+$Z$1</f>
        <v>-6.4353495950148887E-2</v>
      </c>
      <c r="X40">
        <f>(S40-V40)^2</f>
        <v>1.3305529142343947E-6</v>
      </c>
      <c r="Y40">
        <v>7250</v>
      </c>
      <c r="Z40">
        <f t="shared" si="1"/>
        <v>4.9887587227733017E-2</v>
      </c>
      <c r="AA40">
        <f t="shared" si="0"/>
        <v>7.1206092650160299E-3</v>
      </c>
    </row>
    <row r="41" spans="1:27" x14ac:dyDescent="0.2">
      <c r="A41" s="44" t="s">
        <v>48</v>
      </c>
      <c r="B41" s="45" t="s">
        <v>49</v>
      </c>
      <c r="C41" s="44">
        <v>56072.887999999999</v>
      </c>
      <c r="D41" s="44">
        <v>2E-3</v>
      </c>
      <c r="E41">
        <f t="shared" si="2"/>
        <v>11646.065635813151</v>
      </c>
      <c r="F41">
        <f t="shared" si="3"/>
        <v>11646</v>
      </c>
      <c r="G41">
        <f t="shared" si="4"/>
        <v>0.12140000000363216</v>
      </c>
      <c r="H41">
        <f t="shared" si="6"/>
        <v>0.12140000000363216</v>
      </c>
      <c r="O41">
        <f t="shared" ca="1" si="8"/>
        <v>0.13917237191224063</v>
      </c>
      <c r="P41">
        <f t="shared" ca="1" si="9"/>
        <v>-6.3890665700496882E-2</v>
      </c>
      <c r="Q41" s="2">
        <f t="shared" si="5"/>
        <v>41054.387999999999</v>
      </c>
      <c r="R41">
        <f>G41</f>
        <v>0.12140000000363216</v>
      </c>
      <c r="U41">
        <f t="shared" si="7"/>
        <v>0.12136195589376454</v>
      </c>
      <c r="W41">
        <f>(R41-U41)^2</f>
        <v>1.447354295619235E-9</v>
      </c>
      <c r="Y41">
        <v>7500</v>
      </c>
      <c r="Z41">
        <f t="shared" si="1"/>
        <v>5.6666965312022602E-2</v>
      </c>
      <c r="AA41">
        <f t="shared" si="0"/>
        <v>3.4123118072644509E-4</v>
      </c>
    </row>
    <row r="42" spans="1:27" x14ac:dyDescent="0.2">
      <c r="A42" s="44" t="s">
        <v>48</v>
      </c>
      <c r="B42" s="45" t="s">
        <v>49</v>
      </c>
      <c r="C42" s="44">
        <v>56846.017899999999</v>
      </c>
      <c r="D42" s="44">
        <v>1.1999999999999999E-3</v>
      </c>
      <c r="E42">
        <f t="shared" si="2"/>
        <v>12064.064067906576</v>
      </c>
      <c r="F42">
        <f t="shared" si="3"/>
        <v>12064</v>
      </c>
      <c r="G42">
        <f t="shared" si="4"/>
        <v>0.11850000000413274</v>
      </c>
      <c r="H42">
        <f t="shared" si="6"/>
        <v>0.11850000000413274</v>
      </c>
      <c r="O42">
        <f t="shared" ca="1" si="8"/>
        <v>0.1117235517614299</v>
      </c>
      <c r="P42">
        <f t="shared" ca="1" si="9"/>
        <v>-6.0413394759509298E-2</v>
      </c>
      <c r="Q42" s="2">
        <f t="shared" si="5"/>
        <v>41827.517899999999</v>
      </c>
      <c r="R42">
        <f>G42</f>
        <v>0.11850000000413274</v>
      </c>
      <c r="U42">
        <f t="shared" si="7"/>
        <v>0.12068824286544264</v>
      </c>
      <c r="W42">
        <f>(R42-U42)^2</f>
        <v>4.7884068200737007E-6</v>
      </c>
      <c r="Y42">
        <v>7750</v>
      </c>
      <c r="Z42">
        <f t="shared" si="1"/>
        <v>6.3284715556476037E-2</v>
      </c>
      <c r="AA42">
        <f t="shared" si="0"/>
        <v>-6.2765190637269902E-3</v>
      </c>
    </row>
    <row r="43" spans="1:27" x14ac:dyDescent="0.2">
      <c r="A43" s="44" t="s">
        <v>48</v>
      </c>
      <c r="B43" s="45" t="s">
        <v>46</v>
      </c>
      <c r="C43" s="44">
        <v>56868.957999999999</v>
      </c>
      <c r="D43" s="44">
        <v>2E-3</v>
      </c>
      <c r="E43">
        <f t="shared" si="2"/>
        <v>12076.466803633219</v>
      </c>
      <c r="F43">
        <f t="shared" si="3"/>
        <v>12076.5</v>
      </c>
      <c r="G43">
        <f t="shared" si="4"/>
        <v>-6.1399999998684507E-2</v>
      </c>
      <c r="H43">
        <f t="shared" si="6"/>
        <v>-6.1399999998684507E-2</v>
      </c>
      <c r="O43">
        <f t="shared" ca="1" si="8"/>
        <v>0.11090271383825978</v>
      </c>
      <c r="P43">
        <f t="shared" ca="1" si="9"/>
        <v>-6.0309409384479762E-2</v>
      </c>
      <c r="Q43" s="2">
        <f t="shared" si="5"/>
        <v>41850.457999999999</v>
      </c>
      <c r="S43">
        <f>G43</f>
        <v>-6.1399999998684507E-2</v>
      </c>
      <c r="V43">
        <f>-$Z$3*SIN(($F43-$Z$2)*2*PI()/$Z$4)+$Z$1</f>
        <v>-6.3637029470723958E-2</v>
      </c>
      <c r="X43">
        <f>(S43-V43)^2</f>
        <v>5.0043008587731031E-6</v>
      </c>
      <c r="Y43">
        <v>8000</v>
      </c>
      <c r="Z43">
        <f t="shared" si="1"/>
        <v>6.9702858423211278E-2</v>
      </c>
      <c r="AA43">
        <f t="shared" ref="AA43:AA66" si="10">-$Z$3*SIN(($Y43-$Z$2)*2*PI()/$Z$4)+$Z$1</f>
        <v>-1.2694661930462238E-2</v>
      </c>
    </row>
    <row r="44" spans="1:27" x14ac:dyDescent="0.2">
      <c r="A44" s="44" t="s">
        <v>48</v>
      </c>
      <c r="B44" s="45" t="s">
        <v>49</v>
      </c>
      <c r="C44" s="44">
        <v>57571.063300000002</v>
      </c>
      <c r="D44" s="44">
        <v>1.1000000000000001E-3</v>
      </c>
      <c r="E44">
        <f t="shared" si="2"/>
        <v>12456.065257352944</v>
      </c>
      <c r="F44">
        <f t="shared" si="3"/>
        <v>12456</v>
      </c>
      <c r="G44">
        <f t="shared" si="4"/>
        <v>0.12070000000676373</v>
      </c>
      <c r="H44">
        <f t="shared" si="6"/>
        <v>0.12070000000676373</v>
      </c>
      <c r="O44">
        <f t="shared" ca="1" si="8"/>
        <v>8.5982074490813298E-2</v>
      </c>
      <c r="P44">
        <f t="shared" ca="1" si="9"/>
        <v>-5.7152413398583124E-2</v>
      </c>
      <c r="Q44" s="2">
        <f t="shared" si="5"/>
        <v>42552.563300000002</v>
      </c>
      <c r="R44">
        <f>G44</f>
        <v>0.12070000000676373</v>
      </c>
      <c r="U44">
        <f t="shared" si="7"/>
        <v>0.11871318928859055</v>
      </c>
      <c r="W44">
        <f>(R44-U44)^2</f>
        <v>3.9474168298478246E-6</v>
      </c>
      <c r="Y44">
        <v>8250</v>
      </c>
      <c r="Z44">
        <f t="shared" ref="Z44:Z66" si="11">Z$3*SIN((Y44-Z$2)*2*PI()/Z$4)+Z$1</f>
        <v>7.5884559929207646E-2</v>
      </c>
      <c r="AA44">
        <f t="shared" si="10"/>
        <v>-1.8876363436458592E-2</v>
      </c>
    </row>
    <row r="45" spans="1:27" x14ac:dyDescent="0.2">
      <c r="A45" s="44" t="s">
        <v>48</v>
      </c>
      <c r="B45" s="45" t="s">
        <v>49</v>
      </c>
      <c r="C45" s="44">
        <v>57596.957699999999</v>
      </c>
      <c r="D45" s="44">
        <v>1.1999999999999999E-3</v>
      </c>
      <c r="E45">
        <f t="shared" si="2"/>
        <v>12470.065257352942</v>
      </c>
      <c r="F45">
        <f t="shared" si="3"/>
        <v>12470</v>
      </c>
      <c r="G45">
        <f t="shared" si="4"/>
        <v>0.12069999999948777</v>
      </c>
      <c r="H45">
        <f t="shared" si="6"/>
        <v>0.12069999999948777</v>
      </c>
      <c r="O45">
        <f t="shared" ca="1" si="8"/>
        <v>8.506273601686265E-2</v>
      </c>
      <c r="P45">
        <f t="shared" ca="1" si="9"/>
        <v>-5.7035949778550046E-2</v>
      </c>
      <c r="Q45" s="2">
        <f t="shared" si="5"/>
        <v>42578.457699999999</v>
      </c>
      <c r="R45">
        <f>G45</f>
        <v>0.12069999999948777</v>
      </c>
      <c r="U45">
        <f t="shared" si="7"/>
        <v>0.1186189061745392</v>
      </c>
      <c r="W45">
        <f>(R45-U45)^2</f>
        <v>4.3309515082390856E-6</v>
      </c>
      <c r="Y45">
        <v>8500</v>
      </c>
      <c r="Z45">
        <f t="shared" si="11"/>
        <v>8.1794343038032818E-2</v>
      </c>
      <c r="AA45">
        <f t="shared" si="10"/>
        <v>-2.4786146545283771E-2</v>
      </c>
    </row>
    <row r="46" spans="1:27" x14ac:dyDescent="0.2">
      <c r="A46" s="46" t="s">
        <v>0</v>
      </c>
      <c r="B46" s="47" t="s">
        <v>46</v>
      </c>
      <c r="C46" s="46">
        <v>57966.877100000158</v>
      </c>
      <c r="D46" s="46">
        <v>1.1000000000000001E-3</v>
      </c>
      <c r="E46">
        <f>+(C46-C$7)/C$8</f>
        <v>12670.064932958565</v>
      </c>
      <c r="F46">
        <f t="shared" si="3"/>
        <v>12670</v>
      </c>
      <c r="G46">
        <f>+C46-(C$7+F46*C$8)</f>
        <v>0.1201000001601642</v>
      </c>
      <c r="H46">
        <f t="shared" si="6"/>
        <v>0.1201000001601642</v>
      </c>
      <c r="O46">
        <f t="shared" ref="O46:P48" ca="1" si="12">+C$11+C$12*$F46</f>
        <v>7.1929329246139817E-2</v>
      </c>
      <c r="P46">
        <f t="shared" ca="1" si="12"/>
        <v>-5.5372183778077511E-2</v>
      </c>
      <c r="Q46" s="2">
        <f>+C46-15018.5</f>
        <v>42948.377100000158</v>
      </c>
      <c r="R46">
        <f>G46</f>
        <v>0.1201000001601642</v>
      </c>
      <c r="U46">
        <f>Z$3*SIN((F46-Z$2)*2*PI()/Z$4)+Z$1</f>
        <v>0.11709571841643122</v>
      </c>
      <c r="W46">
        <f>(R46-U46)^2</f>
        <v>9.0257087957272477E-6</v>
      </c>
      <c r="Y46">
        <v>8750</v>
      </c>
      <c r="Z46">
        <f t="shared" si="11"/>
        <v>8.7398291263998285E-2</v>
      </c>
      <c r="AA46">
        <f t="shared" si="10"/>
        <v>-3.0390094771249244E-2</v>
      </c>
    </row>
    <row r="47" spans="1:27" ht="12" customHeight="1" x14ac:dyDescent="0.2">
      <c r="A47" s="46" t="s">
        <v>1</v>
      </c>
      <c r="B47" s="47" t="s">
        <v>46</v>
      </c>
      <c r="C47" s="46">
        <v>58319.0524</v>
      </c>
      <c r="D47" s="46">
        <v>2.2000000000000001E-3</v>
      </c>
      <c r="E47">
        <f>+(C47-C$7)/C$8</f>
        <v>12860.471128892736</v>
      </c>
      <c r="F47">
        <f t="shared" si="3"/>
        <v>12860.5</v>
      </c>
      <c r="G47">
        <f>+C47-(C$7+F47*C$8)</f>
        <v>-5.3399999997054692E-2</v>
      </c>
      <c r="H47">
        <f t="shared" si="6"/>
        <v>-5.3399999997054692E-2</v>
      </c>
      <c r="O47">
        <f t="shared" ca="1" si="12"/>
        <v>5.9419759297026364E-2</v>
      </c>
      <c r="P47">
        <f t="shared" ca="1" si="12"/>
        <v>-5.3787446662627428E-2</v>
      </c>
      <c r="Q47" s="2">
        <f>+C47-15018.5</f>
        <v>43300.5524</v>
      </c>
      <c r="S47">
        <f>G47</f>
        <v>-5.3399999997054692E-2</v>
      </c>
      <c r="U47">
        <f>Z$3*SIN((F47-Z$2)*2*PI()/Z$4)+Z$1</f>
        <v>0.11534215609562881</v>
      </c>
      <c r="W47">
        <f>(S47-U47)^2</f>
        <v>2.8473915242807565E-2</v>
      </c>
      <c r="Y47">
        <v>9000</v>
      </c>
      <c r="Z47">
        <f t="shared" si="11"/>
        <v>9.2664243320250514E-2</v>
      </c>
      <c r="AA47">
        <f t="shared" si="10"/>
        <v>-3.5656046827501467E-2</v>
      </c>
    </row>
    <row r="48" spans="1:27" ht="12" customHeight="1" x14ac:dyDescent="0.2">
      <c r="A48" s="46" t="s">
        <v>1</v>
      </c>
      <c r="B48" s="47" t="s">
        <v>49</v>
      </c>
      <c r="C48" s="46">
        <v>58321.998570999996</v>
      </c>
      <c r="D48" s="46">
        <v>6.3E-5</v>
      </c>
      <c r="E48">
        <f>+(C48-C$7)/C$8</f>
        <v>12862.063998161764</v>
      </c>
      <c r="F48">
        <f t="shared" si="3"/>
        <v>12862</v>
      </c>
      <c r="G48">
        <f>+C48-(C$7+F48*C$8)</f>
        <v>0.11837099999684142</v>
      </c>
      <c r="H48">
        <f t="shared" si="6"/>
        <v>0.11837099999684142</v>
      </c>
      <c r="O48">
        <f t="shared" ca="1" si="12"/>
        <v>5.9321258746245942E-2</v>
      </c>
      <c r="P48">
        <f t="shared" ca="1" si="12"/>
        <v>-5.3774968417623886E-2</v>
      </c>
      <c r="Q48" s="2">
        <f>+C48-15018.5</f>
        <v>43303.498570999996</v>
      </c>
      <c r="R48">
        <f>G48</f>
        <v>0.11837099999684142</v>
      </c>
      <c r="U48">
        <f>Z$3*SIN((F48-Z$2)*2*PI()/Z$4)+Z$1</f>
        <v>0.1153271917393173</v>
      </c>
      <c r="W48">
        <f>(R48-U48)^2</f>
        <v>9.2647687085720329E-6</v>
      </c>
      <c r="Y48">
        <v>9250</v>
      </c>
      <c r="Z48">
        <f t="shared" si="11"/>
        <v>9.7561977693704588E-2</v>
      </c>
      <c r="AA48">
        <f t="shared" si="10"/>
        <v>-4.0553781200955541E-2</v>
      </c>
    </row>
    <row r="49" spans="1:27" ht="12" customHeight="1" x14ac:dyDescent="0.2">
      <c r="A49" s="48" t="s">
        <v>69</v>
      </c>
      <c r="B49" s="49" t="s">
        <v>49</v>
      </c>
      <c r="C49" s="50">
        <v>58592.039379999973</v>
      </c>
      <c r="D49" s="48">
        <v>1.2199999999999999E-3</v>
      </c>
      <c r="E49">
        <f t="shared" ref="E49:E51" si="13">+(C49-C$7)/C$8</f>
        <v>13008.063570501718</v>
      </c>
      <c r="F49">
        <f t="shared" ref="F49:F51" si="14">ROUND(2*E49,0)/2</f>
        <v>13008</v>
      </c>
      <c r="G49">
        <f t="shared" ref="G49:G51" si="15">+C49-(C$7+F49*C$8)</f>
        <v>0.1175799999764422</v>
      </c>
      <c r="H49">
        <f t="shared" ref="H49:H51" si="16">+G49</f>
        <v>0.1175799999764422</v>
      </c>
      <c r="O49">
        <f t="shared" ref="O49:O51" ca="1" si="17">+C$11+C$12*$F49</f>
        <v>4.9733871803618324E-2</v>
      </c>
      <c r="P49">
        <f t="shared" ref="P49:P51" ca="1" si="18">+D$11+D$12*$F49</f>
        <v>-5.256041923727893E-2</v>
      </c>
      <c r="Q49" s="2">
        <f t="shared" ref="Q49:Q51" si="19">+C49-15018.5</f>
        <v>43573.539379999973</v>
      </c>
      <c r="R49">
        <f t="shared" ref="R49:R51" si="20">G49</f>
        <v>0.1175799999764422</v>
      </c>
      <c r="U49">
        <f t="shared" ref="U49:U51" si="21">Z$3*SIN((F49-Z$2)*2*PI()/Z$4)+Z$1</f>
        <v>0.11378526551598357</v>
      </c>
      <c r="W49">
        <f t="shared" ref="W49:W51" si="22">(R49-U49)^2</f>
        <v>1.4400009625392202E-5</v>
      </c>
      <c r="Y49">
        <v>9500</v>
      </c>
      <c r="Z49">
        <f t="shared" si="11"/>
        <v>0.10206338608753736</v>
      </c>
      <c r="AA49">
        <f t="shared" si="10"/>
        <v>-4.5055189594788311E-2</v>
      </c>
    </row>
    <row r="50" spans="1:27" ht="12" customHeight="1" x14ac:dyDescent="0.2">
      <c r="A50" s="48" t="s">
        <v>69</v>
      </c>
      <c r="B50" s="49" t="s">
        <v>46</v>
      </c>
      <c r="C50" s="50">
        <v>58600.194089999888</v>
      </c>
      <c r="D50" s="48">
        <v>1.5399999999999999E-3</v>
      </c>
      <c r="E50">
        <f t="shared" si="13"/>
        <v>13012.4724751297</v>
      </c>
      <c r="F50">
        <f t="shared" si="14"/>
        <v>13012.5</v>
      </c>
      <c r="G50">
        <f t="shared" si="15"/>
        <v>-5.0910000107251108E-2</v>
      </c>
      <c r="H50">
        <f t="shared" si="16"/>
        <v>-5.0910000107251108E-2</v>
      </c>
      <c r="O50">
        <f t="shared" ca="1" si="17"/>
        <v>4.9438370151277056E-2</v>
      </c>
      <c r="P50">
        <f t="shared" ca="1" si="18"/>
        <v>-5.2522984502268305E-2</v>
      </c>
      <c r="Q50" s="2">
        <f t="shared" si="19"/>
        <v>43581.694089999888</v>
      </c>
      <c r="R50">
        <f t="shared" si="20"/>
        <v>-5.0910000107251108E-2</v>
      </c>
      <c r="U50">
        <f t="shared" si="21"/>
        <v>0.11373507146117694</v>
      </c>
      <c r="W50">
        <f t="shared" si="22"/>
        <v>2.7107999591772798E-2</v>
      </c>
      <c r="Y50">
        <v>9750</v>
      </c>
      <c r="Z50">
        <f t="shared" si="11"/>
        <v>0.10614263473584636</v>
      </c>
      <c r="AA50">
        <f t="shared" si="10"/>
        <v>-4.9134438243097309E-2</v>
      </c>
    </row>
    <row r="51" spans="1:27" ht="12" customHeight="1" x14ac:dyDescent="0.2">
      <c r="A51" s="48" t="s">
        <v>69</v>
      </c>
      <c r="B51" s="49" t="s">
        <v>46</v>
      </c>
      <c r="C51" s="50">
        <v>58676.02807</v>
      </c>
      <c r="D51" s="48">
        <v>2.2799999999999999E-3</v>
      </c>
      <c r="E51">
        <f t="shared" si="13"/>
        <v>13053.472680579587</v>
      </c>
      <c r="F51">
        <f t="shared" si="14"/>
        <v>13053.5</v>
      </c>
      <c r="G51">
        <f t="shared" si="15"/>
        <v>-5.0529999993159436E-2</v>
      </c>
      <c r="H51">
        <f t="shared" si="16"/>
        <v>-5.0529999993159436E-2</v>
      </c>
      <c r="O51">
        <f t="shared" ca="1" si="17"/>
        <v>4.6746021763278911E-2</v>
      </c>
      <c r="P51">
        <f t="shared" ca="1" si="18"/>
        <v>-5.2181912472171438E-2</v>
      </c>
      <c r="Q51" s="2">
        <f t="shared" si="19"/>
        <v>43657.52807</v>
      </c>
      <c r="R51">
        <f t="shared" si="20"/>
        <v>-5.0529999993159436E-2</v>
      </c>
      <c r="U51">
        <f t="shared" si="21"/>
        <v>0.11327045610352734</v>
      </c>
      <c r="W51">
        <f t="shared" si="22"/>
        <v>2.6830589417482613E-2</v>
      </c>
      <c r="Y51">
        <v>10000</v>
      </c>
      <c r="Z51">
        <f t="shared" si="11"/>
        <v>0.10977631266468339</v>
      </c>
      <c r="AA51">
        <f t="shared" si="10"/>
        <v>-5.2768116171934346E-2</v>
      </c>
    </row>
    <row r="52" spans="1:27" ht="12" customHeight="1" x14ac:dyDescent="0.2">
      <c r="Y52">
        <v>10250</v>
      </c>
      <c r="Z52">
        <f t="shared" si="11"/>
        <v>0.11294356604858639</v>
      </c>
      <c r="AA52">
        <f t="shared" si="10"/>
        <v>-5.5935369555837347E-2</v>
      </c>
    </row>
    <row r="53" spans="1:27" ht="12" customHeight="1" x14ac:dyDescent="0.2">
      <c r="Y53">
        <v>10500</v>
      </c>
      <c r="Z53">
        <f t="shared" si="11"/>
        <v>0.11562621789153217</v>
      </c>
      <c r="AA53">
        <f t="shared" si="10"/>
        <v>-5.8618021398783124E-2</v>
      </c>
    </row>
    <row r="54" spans="1:27" ht="12" customHeight="1" x14ac:dyDescent="0.2">
      <c r="Y54">
        <v>10750</v>
      </c>
      <c r="Z54">
        <f t="shared" si="11"/>
        <v>0.11780887234545608</v>
      </c>
      <c r="AA54">
        <f t="shared" si="10"/>
        <v>-6.0800675852707028E-2</v>
      </c>
    </row>
    <row r="55" spans="1:27" x14ac:dyDescent="0.2">
      <c r="Y55">
        <v>11000</v>
      </c>
      <c r="Z55">
        <f t="shared" si="11"/>
        <v>0.11947900306765039</v>
      </c>
      <c r="AA55">
        <f t="shared" si="10"/>
        <v>-6.2470806574901339E-2</v>
      </c>
    </row>
    <row r="56" spans="1:27" x14ac:dyDescent="0.2">
      <c r="Y56">
        <v>11250</v>
      </c>
      <c r="Z56">
        <f t="shared" si="11"/>
        <v>0.12062702510995468</v>
      </c>
      <c r="AA56">
        <f t="shared" si="10"/>
        <v>-6.3618828617205636E-2</v>
      </c>
    </row>
    <row r="57" spans="1:27" x14ac:dyDescent="0.2">
      <c r="Y57">
        <v>11500</v>
      </c>
      <c r="Z57">
        <f t="shared" si="11"/>
        <v>0.12124634992716335</v>
      </c>
      <c r="AA57">
        <f t="shared" si="10"/>
        <v>-6.4238153434414302E-2</v>
      </c>
    </row>
    <row r="58" spans="1:27" x14ac:dyDescent="0.2">
      <c r="Y58">
        <v>11750</v>
      </c>
      <c r="Z58">
        <f t="shared" si="11"/>
        <v>0.12133342318895454</v>
      </c>
      <c r="AA58">
        <f t="shared" si="10"/>
        <v>-6.4325226696205495E-2</v>
      </c>
    </row>
    <row r="59" spans="1:27" x14ac:dyDescent="0.2">
      <c r="Y59">
        <v>12000</v>
      </c>
      <c r="Z59">
        <f t="shared" si="11"/>
        <v>0.12088774517833641</v>
      </c>
      <c r="AA59">
        <f t="shared" si="10"/>
        <v>-6.3879548685587359E-2</v>
      </c>
    </row>
    <row r="60" spans="1:27" x14ac:dyDescent="0.2">
      <c r="Y60">
        <v>12250</v>
      </c>
      <c r="Z60">
        <f t="shared" si="11"/>
        <v>0.11991187365954338</v>
      </c>
      <c r="AA60">
        <f t="shared" si="10"/>
        <v>-6.2903677166794333E-2</v>
      </c>
    </row>
    <row r="61" spans="1:27" x14ac:dyDescent="0.2">
      <c r="Y61">
        <v>12500</v>
      </c>
      <c r="Z61">
        <f t="shared" si="11"/>
        <v>0.11841140919892305</v>
      </c>
      <c r="AA61">
        <f t="shared" si="10"/>
        <v>-6.1403212706174007E-2</v>
      </c>
    </row>
    <row r="62" spans="1:27" x14ac:dyDescent="0.2">
      <c r="Y62">
        <v>12750</v>
      </c>
      <c r="Z62">
        <f t="shared" si="11"/>
        <v>0.11639496302305816</v>
      </c>
      <c r="AA62">
        <f t="shared" si="10"/>
        <v>-5.938676653030911E-2</v>
      </c>
    </row>
    <row r="63" spans="1:27" x14ac:dyDescent="0.2">
      <c r="Y63">
        <v>13000</v>
      </c>
      <c r="Z63">
        <f t="shared" si="11"/>
        <v>0.11387410759858677</v>
      </c>
      <c r="AA63">
        <f t="shared" si="10"/>
        <v>-5.6865911105837719E-2</v>
      </c>
    </row>
    <row r="64" spans="1:27" x14ac:dyDescent="0.2">
      <c r="Y64">
        <v>13250</v>
      </c>
      <c r="Z64">
        <f t="shared" si="11"/>
        <v>0.11086331021734561</v>
      </c>
      <c r="AA64">
        <f t="shared" si="10"/>
        <v>-5.3855113724596559E-2</v>
      </c>
    </row>
    <row r="65" spans="25:27" x14ac:dyDescent="0.2">
      <c r="Y65">
        <v>13500</v>
      </c>
      <c r="Z65">
        <f t="shared" si="11"/>
        <v>0.1073798499679935</v>
      </c>
      <c r="AA65">
        <f t="shared" si="10"/>
        <v>-5.0371653475244457E-2</v>
      </c>
    </row>
    <row r="66" spans="25:27" x14ac:dyDescent="0.2">
      <c r="Y66">
        <v>13750</v>
      </c>
      <c r="Z66">
        <f t="shared" si="11"/>
        <v>0.10344371857061868</v>
      </c>
      <c r="AA66">
        <f t="shared" si="10"/>
        <v>-4.6435522077869634E-2</v>
      </c>
    </row>
  </sheetData>
  <phoneticPr fontId="7" type="noConversion"/>
  <hyperlinks>
    <hyperlink ref="H63877" r:id="rId1" display="http://vsolj.cetus-net.org/bulletin.html"/>
    <hyperlink ref="H63870" r:id="rId2" display="https://www.aavso.org/ejaavso"/>
    <hyperlink ref="I63877" r:id="rId3" display="http://vsolj.cetus-net.org/bulletin.html"/>
    <hyperlink ref="AQ57528" r:id="rId4" display="http://cdsbib.u-strasbg.fr/cgi-bin/cdsbib?1990RMxAA..21..381G"/>
    <hyperlink ref="H63874" r:id="rId5" display="https://www.aavso.org/ejaavso"/>
    <hyperlink ref="AP4892" r:id="rId6" display="http://cdsbib.u-strasbg.fr/cgi-bin/cdsbib?1990RMxAA..21..381G"/>
    <hyperlink ref="AP4895" r:id="rId7" display="http://cdsbib.u-strasbg.fr/cgi-bin/cdsbib?1990RMxAA..21..381G"/>
    <hyperlink ref="AP4893" r:id="rId8" display="http://cdsbib.u-strasbg.fr/cgi-bin/cdsbib?1990RMxAA..21..381G"/>
    <hyperlink ref="AP4877" r:id="rId9" display="http://cdsbib.u-strasbg.fr/cgi-bin/cdsbib?1990RMxAA..21..381G"/>
    <hyperlink ref="AQ5106" r:id="rId10" display="http://cdsbib.u-strasbg.fr/cgi-bin/cdsbib?1990RMxAA..21..381G"/>
    <hyperlink ref="AQ5110" r:id="rId11" display="http://cdsbib.u-strasbg.fr/cgi-bin/cdsbib?1990RMxAA..21..381G"/>
    <hyperlink ref="AQ64790" r:id="rId12" display="http://cdsbib.u-strasbg.fr/cgi-bin/cdsbib?1990RMxAA..21..381G"/>
    <hyperlink ref="I1998" r:id="rId13" display="http://vsolj.cetus-net.org/bulletin.html"/>
    <hyperlink ref="H1998" r:id="rId14" display="http://vsolj.cetus-net.org/bulletin.html"/>
    <hyperlink ref="AQ65451" r:id="rId15" display="http://cdsbib.u-strasbg.fr/cgi-bin/cdsbib?1990RMxAA..21..381G"/>
    <hyperlink ref="AQ65450" r:id="rId16" display="http://cdsbib.u-strasbg.fr/cgi-bin/cdsbib?1990RMxAA..21..381G"/>
    <hyperlink ref="AP3168" r:id="rId17" display="http://cdsbib.u-strasbg.fr/cgi-bin/cdsbib?1990RMxAA..21..381G"/>
    <hyperlink ref="AP3186" r:id="rId18" display="http://cdsbib.u-strasbg.fr/cgi-bin/cdsbib?1990RMxAA..21..381G"/>
    <hyperlink ref="AP3187" r:id="rId19" display="http://cdsbib.u-strasbg.fr/cgi-bin/cdsbib?1990RMxAA..21..381G"/>
    <hyperlink ref="AP3183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2023-01-17T05:54:07Z</dcterms:modified>
</cp:coreProperties>
</file>