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E85E464-1DDF-458E-9B6F-623840D0FAAC}" xr6:coauthVersionLast="47" xr6:coauthVersionMax="47" xr10:uidLastSave="{00000000-0000-0000-0000-000000000000}"/>
  <bookViews>
    <workbookView xWindow="14250" yWindow="945" windowWidth="13785" windowHeight="14640"/>
  </bookViews>
  <sheets>
    <sheet name="Active 1" sheetId="1" r:id="rId1"/>
    <sheet name="Active 2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38" i="3" l="1"/>
  <c r="F38" i="3" s="1"/>
  <c r="G38" i="3" s="1"/>
  <c r="K38" i="3" s="1"/>
  <c r="Q38" i="3"/>
  <c r="E48" i="3"/>
  <c r="F48" i="3" s="1"/>
  <c r="G48" i="3" s="1"/>
  <c r="K48" i="3" s="1"/>
  <c r="Q48" i="3"/>
  <c r="E49" i="3"/>
  <c r="F49" i="3" s="1"/>
  <c r="G49" i="3" s="1"/>
  <c r="K49" i="3" s="1"/>
  <c r="Q49" i="3"/>
  <c r="E50" i="3"/>
  <c r="F50" i="3"/>
  <c r="G50" i="3" s="1"/>
  <c r="K50" i="3" s="1"/>
  <c r="Q50" i="3"/>
  <c r="E51" i="3"/>
  <c r="F51" i="3"/>
  <c r="G51" i="3" s="1"/>
  <c r="K51" i="3" s="1"/>
  <c r="Q51" i="3"/>
  <c r="E52" i="3"/>
  <c r="F52" i="3"/>
  <c r="G52" i="3"/>
  <c r="K52" i="3" s="1"/>
  <c r="Q52" i="3"/>
  <c r="E53" i="3"/>
  <c r="F53" i="3" s="1"/>
  <c r="G53" i="3" s="1"/>
  <c r="K53" i="3" s="1"/>
  <c r="Q53" i="3"/>
  <c r="E54" i="3"/>
  <c r="F54" i="3" s="1"/>
  <c r="G54" i="3" s="1"/>
  <c r="K54" i="3" s="1"/>
  <c r="Q54" i="3"/>
  <c r="E38" i="1"/>
  <c r="F38" i="1" s="1"/>
  <c r="G38" i="1" s="1"/>
  <c r="K38" i="1" s="1"/>
  <c r="Q38" i="1"/>
  <c r="E48" i="1"/>
  <c r="F48" i="1" s="1"/>
  <c r="G48" i="1" s="1"/>
  <c r="K48" i="1" s="1"/>
  <c r="Q48" i="1"/>
  <c r="E49" i="1"/>
  <c r="F49" i="1"/>
  <c r="G49" i="1" s="1"/>
  <c r="K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 s="1"/>
  <c r="G53" i="1" s="1"/>
  <c r="K53" i="1" s="1"/>
  <c r="Q53" i="1"/>
  <c r="E54" i="1"/>
  <c r="F54" i="1" s="1"/>
  <c r="G54" i="1" s="1"/>
  <c r="K54" i="1" s="1"/>
  <c r="Q54" i="1"/>
  <c r="C7" i="3"/>
  <c r="C8" i="3"/>
  <c r="E32" i="3"/>
  <c r="F32" i="3" s="1"/>
  <c r="G32" i="3" s="1"/>
  <c r="J32" i="3" s="1"/>
  <c r="C9" i="3"/>
  <c r="D9" i="3"/>
  <c r="F16" i="3"/>
  <c r="F17" i="3" s="1"/>
  <c r="C17" i="3"/>
  <c r="Q21" i="3"/>
  <c r="Q22" i="3"/>
  <c r="E23" i="3"/>
  <c r="F23" i="3"/>
  <c r="G23" i="3" s="1"/>
  <c r="K23" i="3" s="1"/>
  <c r="Q23" i="3"/>
  <c r="Q24" i="3"/>
  <c r="E25" i="3"/>
  <c r="F25" i="3" s="1"/>
  <c r="G25" i="3" s="1"/>
  <c r="J25" i="3" s="1"/>
  <c r="Q25" i="3"/>
  <c r="E26" i="3"/>
  <c r="F26" i="3"/>
  <c r="G26" i="3"/>
  <c r="J26" i="3" s="1"/>
  <c r="Q26" i="3"/>
  <c r="E27" i="3"/>
  <c r="F27" i="3"/>
  <c r="G27" i="3" s="1"/>
  <c r="J27" i="3" s="1"/>
  <c r="Q27" i="3"/>
  <c r="Q28" i="3"/>
  <c r="Q29" i="3"/>
  <c r="E30" i="3"/>
  <c r="F30" i="3"/>
  <c r="G30" i="3"/>
  <c r="J30" i="3" s="1"/>
  <c r="Q30" i="3"/>
  <c r="E31" i="3"/>
  <c r="F31" i="3"/>
  <c r="G31" i="3" s="1"/>
  <c r="J31" i="3" s="1"/>
  <c r="Q31" i="3"/>
  <c r="Q32" i="3"/>
  <c r="E33" i="3"/>
  <c r="F33" i="3" s="1"/>
  <c r="G33" i="3" s="1"/>
  <c r="J33" i="3" s="1"/>
  <c r="Q33" i="3"/>
  <c r="E34" i="3"/>
  <c r="F34" i="3"/>
  <c r="G34" i="3"/>
  <c r="J34" i="3" s="1"/>
  <c r="Q34" i="3"/>
  <c r="Q35" i="3"/>
  <c r="E36" i="3"/>
  <c r="F36" i="3" s="1"/>
  <c r="G36" i="3" s="1"/>
  <c r="J36" i="3" s="1"/>
  <c r="Q36" i="3"/>
  <c r="E37" i="3"/>
  <c r="F37" i="3" s="1"/>
  <c r="G37" i="3" s="1"/>
  <c r="J37" i="3" s="1"/>
  <c r="Q37" i="3"/>
  <c r="E39" i="3"/>
  <c r="F39" i="3"/>
  <c r="G39" i="3"/>
  <c r="J39" i="3" s="1"/>
  <c r="Q39" i="3"/>
  <c r="Q40" i="3"/>
  <c r="Q41" i="3"/>
  <c r="E42" i="3"/>
  <c r="F42" i="3" s="1"/>
  <c r="G42" i="3" s="1"/>
  <c r="K42" i="3" s="1"/>
  <c r="Q42" i="3"/>
  <c r="E43" i="3"/>
  <c r="F43" i="3"/>
  <c r="G43" i="3"/>
  <c r="K43" i="3" s="1"/>
  <c r="Q43" i="3"/>
  <c r="Q44" i="3"/>
  <c r="E45" i="3"/>
  <c r="F45" i="3" s="1"/>
  <c r="G45" i="3" s="1"/>
  <c r="K45" i="3" s="1"/>
  <c r="Q45" i="3"/>
  <c r="E46" i="3"/>
  <c r="F46" i="3" s="1"/>
  <c r="G46" i="3" s="1"/>
  <c r="K46" i="3" s="1"/>
  <c r="Q46" i="3"/>
  <c r="E47" i="3"/>
  <c r="F47" i="3"/>
  <c r="G47" i="3"/>
  <c r="K47" i="3" s="1"/>
  <c r="Q47" i="3"/>
  <c r="E46" i="1"/>
  <c r="F46" i="1" s="1"/>
  <c r="G46" i="1" s="1"/>
  <c r="K46" i="1" s="1"/>
  <c r="D9" i="1"/>
  <c r="C9" i="1"/>
  <c r="E21" i="1"/>
  <c r="F21" i="1"/>
  <c r="G21" i="1" s="1"/>
  <c r="H21" i="1" s="1"/>
  <c r="E32" i="1"/>
  <c r="F32" i="1" s="1"/>
  <c r="G32" i="1" s="1"/>
  <c r="J32" i="1" s="1"/>
  <c r="Q40" i="1"/>
  <c r="Q41" i="1"/>
  <c r="Q42" i="1"/>
  <c r="Q43" i="1"/>
  <c r="Q44" i="1"/>
  <c r="Q45" i="1"/>
  <c r="Q46" i="1"/>
  <c r="Q47" i="1"/>
  <c r="Q24" i="1"/>
  <c r="Q28" i="1"/>
  <c r="Q39" i="1"/>
  <c r="G26" i="2"/>
  <c r="C26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25" i="2"/>
  <c r="C25" i="2"/>
  <c r="G15" i="2"/>
  <c r="C15" i="2"/>
  <c r="G14" i="2"/>
  <c r="C14" i="2"/>
  <c r="G13" i="2"/>
  <c r="C13" i="2"/>
  <c r="G24" i="2"/>
  <c r="C24" i="2"/>
  <c r="G12" i="2"/>
  <c r="C12" i="2"/>
  <c r="G11" i="2"/>
  <c r="C11" i="2"/>
  <c r="H26" i="2"/>
  <c r="D26" i="2"/>
  <c r="B26" i="2"/>
  <c r="A26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25" i="2"/>
  <c r="D25" i="2"/>
  <c r="B25" i="2"/>
  <c r="A25" i="2"/>
  <c r="H15" i="2"/>
  <c r="D15" i="2"/>
  <c r="B15" i="2"/>
  <c r="A15" i="2"/>
  <c r="H14" i="2"/>
  <c r="D14" i="2"/>
  <c r="B14" i="2"/>
  <c r="A14" i="2"/>
  <c r="H13" i="2"/>
  <c r="D13" i="2"/>
  <c r="B13" i="2"/>
  <c r="A13" i="2"/>
  <c r="H24" i="2"/>
  <c r="D24" i="2"/>
  <c r="B24" i="2"/>
  <c r="A24" i="2"/>
  <c r="H12" i="2"/>
  <c r="D12" i="2"/>
  <c r="B12" i="2"/>
  <c r="A12" i="2"/>
  <c r="H11" i="2"/>
  <c r="D11" i="2"/>
  <c r="B11" i="2"/>
  <c r="A11" i="2"/>
  <c r="Q25" i="1"/>
  <c r="Q26" i="1"/>
  <c r="Q27" i="1"/>
  <c r="Q29" i="1"/>
  <c r="Q30" i="1"/>
  <c r="Q35" i="1"/>
  <c r="Q36" i="1"/>
  <c r="Q37" i="1"/>
  <c r="Q33" i="1"/>
  <c r="Q34" i="1"/>
  <c r="Q31" i="1"/>
  <c r="Q32" i="1"/>
  <c r="Q23" i="1"/>
  <c r="F16" i="1"/>
  <c r="F17" i="1" s="1"/>
  <c r="C17" i="1"/>
  <c r="Q22" i="1"/>
  <c r="C7" i="1"/>
  <c r="E41" i="1"/>
  <c r="F41" i="1" s="1"/>
  <c r="G41" i="1" s="1"/>
  <c r="K41" i="1" s="1"/>
  <c r="Q21" i="1"/>
  <c r="E23" i="2"/>
  <c r="E37" i="1"/>
  <c r="F37" i="1"/>
  <c r="G37" i="1" s="1"/>
  <c r="J37" i="1" s="1"/>
  <c r="E29" i="1"/>
  <c r="F29" i="1"/>
  <c r="E26" i="1"/>
  <c r="F26" i="1" s="1"/>
  <c r="G26" i="1" s="1"/>
  <c r="J26" i="1" s="1"/>
  <c r="E43" i="1"/>
  <c r="F43" i="1" s="1"/>
  <c r="G43" i="1" s="1"/>
  <c r="K43" i="1" s="1"/>
  <c r="E22" i="3"/>
  <c r="F22" i="3"/>
  <c r="G22" i="3"/>
  <c r="J22" i="3" s="1"/>
  <c r="E34" i="1"/>
  <c r="F34" i="1" s="1"/>
  <c r="G34" i="1" s="1"/>
  <c r="J34" i="1" s="1"/>
  <c r="E23" i="1"/>
  <c r="F23" i="1" s="1"/>
  <c r="G23" i="1" s="1"/>
  <c r="K23" i="1" s="1"/>
  <c r="E31" i="1"/>
  <c r="F31" i="1" s="1"/>
  <c r="G31" i="1" s="1"/>
  <c r="J31" i="1" s="1"/>
  <c r="E28" i="1"/>
  <c r="E25" i="2" s="1"/>
  <c r="E45" i="1"/>
  <c r="F45" i="1"/>
  <c r="G45" i="1"/>
  <c r="K45" i="1" s="1"/>
  <c r="E40" i="1"/>
  <c r="F40" i="1"/>
  <c r="G40" i="1" s="1"/>
  <c r="K40" i="1" s="1"/>
  <c r="E40" i="3"/>
  <c r="F40" i="3"/>
  <c r="G40" i="3" s="1"/>
  <c r="K40" i="3" s="1"/>
  <c r="E28" i="3"/>
  <c r="F28" i="3"/>
  <c r="U28" i="3" s="1"/>
  <c r="E36" i="1"/>
  <c r="F36" i="1"/>
  <c r="G36" i="1" s="1"/>
  <c r="J36" i="1" s="1"/>
  <c r="E25" i="1"/>
  <c r="E13" i="2" s="1"/>
  <c r="E42" i="1"/>
  <c r="F42" i="1" s="1"/>
  <c r="G42" i="1" s="1"/>
  <c r="K42" i="1" s="1"/>
  <c r="E33" i="1"/>
  <c r="F33" i="1" s="1"/>
  <c r="G33" i="1" s="1"/>
  <c r="J33" i="1" s="1"/>
  <c r="E22" i="1"/>
  <c r="E11" i="2" s="1"/>
  <c r="E47" i="1"/>
  <c r="F47" i="1"/>
  <c r="G47" i="1"/>
  <c r="K47" i="1" s="1"/>
  <c r="E39" i="1"/>
  <c r="F39" i="1" s="1"/>
  <c r="G39" i="1" s="1"/>
  <c r="J39" i="1" s="1"/>
  <c r="E30" i="1"/>
  <c r="E16" i="2" s="1"/>
  <c r="E27" i="1"/>
  <c r="F27" i="1"/>
  <c r="G27" i="1" s="1"/>
  <c r="J27" i="1" s="1"/>
  <c r="E44" i="1"/>
  <c r="F44" i="1"/>
  <c r="G44" i="1" s="1"/>
  <c r="K44" i="1" s="1"/>
  <c r="E41" i="3"/>
  <c r="F41" i="3" s="1"/>
  <c r="G41" i="3" s="1"/>
  <c r="K41" i="3" s="1"/>
  <c r="E29" i="3"/>
  <c r="F29" i="3"/>
  <c r="G29" i="3" s="1"/>
  <c r="J29" i="3" s="1"/>
  <c r="E21" i="3"/>
  <c r="F21" i="3" s="1"/>
  <c r="G21" i="3" s="1"/>
  <c r="H21" i="3" s="1"/>
  <c r="E35" i="1"/>
  <c r="E21" i="2" s="1"/>
  <c r="G29" i="1"/>
  <c r="J29" i="1"/>
  <c r="E24" i="1"/>
  <c r="F24" i="1" s="1"/>
  <c r="G24" i="1" s="1"/>
  <c r="K24" i="1" s="1"/>
  <c r="E44" i="3"/>
  <c r="F44" i="3" s="1"/>
  <c r="G44" i="3" s="1"/>
  <c r="K44" i="3" s="1"/>
  <c r="E35" i="3"/>
  <c r="F35" i="3" s="1"/>
  <c r="G35" i="3" s="1"/>
  <c r="J35" i="3" s="1"/>
  <c r="E24" i="3"/>
  <c r="F24" i="3" s="1"/>
  <c r="G24" i="3" s="1"/>
  <c r="K24" i="3" s="1"/>
  <c r="E24" i="2"/>
  <c r="E17" i="2"/>
  <c r="E20" i="2"/>
  <c r="E22" i="2"/>
  <c r="E15" i="2"/>
  <c r="E14" i="2"/>
  <c r="E19" i="2"/>
  <c r="E12" i="2"/>
  <c r="C12" i="3"/>
  <c r="C11" i="3"/>
  <c r="O51" i="3" l="1"/>
  <c r="S51" i="3" s="1"/>
  <c r="O50" i="3"/>
  <c r="S50" i="3" s="1"/>
  <c r="O53" i="3"/>
  <c r="S53" i="3" s="1"/>
  <c r="O49" i="3"/>
  <c r="S49" i="3" s="1"/>
  <c r="O48" i="3"/>
  <c r="S48" i="3" s="1"/>
  <c r="O38" i="3"/>
  <c r="S38" i="3" s="1"/>
  <c r="O54" i="3"/>
  <c r="S54" i="3" s="1"/>
  <c r="O52" i="3"/>
  <c r="S52" i="3" s="1"/>
  <c r="F35" i="1"/>
  <c r="G35" i="1" s="1"/>
  <c r="J35" i="1" s="1"/>
  <c r="F22" i="1"/>
  <c r="G22" i="1" s="1"/>
  <c r="F28" i="1"/>
  <c r="U28" i="1" s="1"/>
  <c r="F30" i="1"/>
  <c r="G30" i="1" s="1"/>
  <c r="J30" i="1" s="1"/>
  <c r="E18" i="2"/>
  <c r="F25" i="1"/>
  <c r="G25" i="1" s="1"/>
  <c r="J25" i="1" s="1"/>
  <c r="E26" i="2"/>
  <c r="O31" i="3"/>
  <c r="S31" i="3" s="1"/>
  <c r="O43" i="3"/>
  <c r="S43" i="3" s="1"/>
  <c r="O25" i="3"/>
  <c r="S25" i="3" s="1"/>
  <c r="O37" i="3"/>
  <c r="S37" i="3" s="1"/>
  <c r="O45" i="3"/>
  <c r="S45" i="3" s="1"/>
  <c r="O27" i="3"/>
  <c r="S27" i="3" s="1"/>
  <c r="O46" i="3"/>
  <c r="S46" i="3" s="1"/>
  <c r="O36" i="3"/>
  <c r="S36" i="3" s="1"/>
  <c r="O44" i="3"/>
  <c r="S44" i="3" s="1"/>
  <c r="O26" i="3"/>
  <c r="S26" i="3" s="1"/>
  <c r="O39" i="3"/>
  <c r="S39" i="3" s="1"/>
  <c r="O21" i="3"/>
  <c r="S21" i="3" s="1"/>
  <c r="O33" i="3"/>
  <c r="S33" i="3" s="1"/>
  <c r="O41" i="3"/>
  <c r="S41" i="3" s="1"/>
  <c r="O23" i="3"/>
  <c r="S23" i="3" s="1"/>
  <c r="O29" i="3"/>
  <c r="S29" i="3" s="1"/>
  <c r="O28" i="3"/>
  <c r="O40" i="3"/>
  <c r="S40" i="3" s="1"/>
  <c r="O22" i="3"/>
  <c r="S22" i="3" s="1"/>
  <c r="O34" i="3"/>
  <c r="S34" i="3" s="1"/>
  <c r="C15" i="3"/>
  <c r="O35" i="3"/>
  <c r="S35" i="3" s="1"/>
  <c r="O47" i="3"/>
  <c r="S47" i="3" s="1"/>
  <c r="O30" i="3"/>
  <c r="S30" i="3" s="1"/>
  <c r="O42" i="3"/>
  <c r="S42" i="3" s="1"/>
  <c r="O24" i="3"/>
  <c r="S24" i="3" s="1"/>
  <c r="O32" i="3"/>
  <c r="S32" i="3" s="1"/>
  <c r="C16" i="3"/>
  <c r="D18" i="3" s="1"/>
  <c r="C12" i="1"/>
  <c r="C11" i="1"/>
  <c r="O50" i="1" l="1"/>
  <c r="S50" i="1" s="1"/>
  <c r="O44" i="1"/>
  <c r="S44" i="1" s="1"/>
  <c r="O31" i="1"/>
  <c r="S31" i="1" s="1"/>
  <c r="O27" i="1"/>
  <c r="S27" i="1" s="1"/>
  <c r="O49" i="1"/>
  <c r="S49" i="1" s="1"/>
  <c r="O24" i="1"/>
  <c r="S24" i="1" s="1"/>
  <c r="O28" i="1"/>
  <c r="O45" i="1"/>
  <c r="S45" i="1" s="1"/>
  <c r="O52" i="1"/>
  <c r="S52" i="1" s="1"/>
  <c r="O42" i="1"/>
  <c r="S42" i="1" s="1"/>
  <c r="O29" i="1"/>
  <c r="S29" i="1" s="1"/>
  <c r="O34" i="1"/>
  <c r="S34" i="1" s="1"/>
  <c r="O43" i="1"/>
  <c r="S43" i="1" s="1"/>
  <c r="O48" i="1"/>
  <c r="S48" i="1" s="1"/>
  <c r="O32" i="1"/>
  <c r="S32" i="1" s="1"/>
  <c r="O23" i="1"/>
  <c r="S23" i="1" s="1"/>
  <c r="O46" i="1"/>
  <c r="S46" i="1" s="1"/>
  <c r="O22" i="1"/>
  <c r="S22" i="1" s="1"/>
  <c r="O38" i="1"/>
  <c r="S38" i="1" s="1"/>
  <c r="C15" i="1"/>
  <c r="C18" i="1" s="1"/>
  <c r="O36" i="1"/>
  <c r="S36" i="1" s="1"/>
  <c r="O30" i="1"/>
  <c r="S30" i="1" s="1"/>
  <c r="O40" i="1"/>
  <c r="S40" i="1" s="1"/>
  <c r="O26" i="1"/>
  <c r="S26" i="1" s="1"/>
  <c r="O54" i="1"/>
  <c r="S54" i="1" s="1"/>
  <c r="O21" i="1"/>
  <c r="S21" i="1" s="1"/>
  <c r="O41" i="1"/>
  <c r="S41" i="1" s="1"/>
  <c r="O47" i="1"/>
  <c r="S47" i="1" s="1"/>
  <c r="O37" i="1"/>
  <c r="S37" i="1" s="1"/>
  <c r="O53" i="1"/>
  <c r="S53" i="1" s="1"/>
  <c r="O39" i="1"/>
  <c r="S39" i="1" s="1"/>
  <c r="O25" i="1"/>
  <c r="S25" i="1" s="1"/>
  <c r="O35" i="1"/>
  <c r="S35" i="1" s="1"/>
  <c r="O51" i="1"/>
  <c r="S51" i="1" s="1"/>
  <c r="O33" i="1"/>
  <c r="S33" i="1" s="1"/>
  <c r="C16" i="1"/>
  <c r="D18" i="1" s="1"/>
  <c r="J22" i="1"/>
  <c r="C18" i="3"/>
  <c r="S19" i="3"/>
  <c r="F18" i="3"/>
  <c r="F19" i="3" s="1"/>
  <c r="S19" i="1" l="1"/>
  <c r="F18" i="1"/>
  <c r="F19" i="1" s="1"/>
</calcChain>
</file>

<file path=xl/sharedStrings.xml><?xml version="1.0" encoding="utf-8"?>
<sst xmlns="http://schemas.openxmlformats.org/spreadsheetml/2006/main" count="360" uniqueCount="146">
  <si>
    <t>IBVS 6244</t>
  </si>
  <si>
    <t>Old period (wrong)</t>
  </si>
  <si>
    <t>2019-07-06 New period found by ToMcat (period search software)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</si>
  <si>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</si>
  <si>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</si>
  <si>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</si>
  <si>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</si>
  <si>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</si>
  <si>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</si>
  <si>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</si>
  <si>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</si>
  <si>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</si>
  <si>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</si>
  <si>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</si>
  <si>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</si>
  <si>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</si>
  <si>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</si>
  <si>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</si>
  <si>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</si>
  <si>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</si>
  <si>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</si>
  <si>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</si>
  <si>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</si>
  <si>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</si>
  <si>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</si>
  <si>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</si>
  <si>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</si>
  <si>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</si>
  <si>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</si>
  <si>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</si>
  <si>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</si>
  <si>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</si>
  <si>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</si>
  <si>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EB/SD</t>
  </si>
  <si>
    <t>IBVS 5731</t>
  </si>
  <si>
    <t>AA Lyr / gsc 2134-0812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</si>
  <si>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</si>
  <si>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</si>
  <si>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</si>
  <si>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</si>
  <si>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</si>
  <si>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</si>
  <si>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</si>
  <si>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</si>
  <si>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OEJV 0137</t>
  </si>
  <si>
    <t>I</t>
  </si>
  <si>
    <t>IBVS 6048</t>
  </si>
  <si>
    <t>IBVS 6084</t>
  </si>
  <si>
    <t>IBVS 6118</t>
  </si>
  <si>
    <t>IBVS 5984</t>
  </si>
  <si>
    <t>IBVS 6149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</si>
  <si>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</si>
  <si>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</si>
  <si>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</si>
  <si>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</si>
  <si>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</si>
  <si>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</si>
  <si>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</si>
  <si>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</si>
  <si>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</si>
  <si>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</si>
  <si>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</si>
  <si>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</si>
  <si>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2453672.3109 </t>
  </si>
  <si>
    <t> 28.10.2005 19:27 </t>
  </si>
  <si>
    <t> 0.2712 </t>
  </si>
  <si>
    <t>C </t>
  </si>
  <si>
    <t>-I</t>
  </si>
  <si>
    <t> P.Frank </t>
  </si>
  <si>
    <t>BAVM 178 </t>
  </si>
  <si>
    <t>2455063.37175 </t>
  </si>
  <si>
    <t> 19.08.2009 20:55 </t>
  </si>
  <si>
    <t>23599</t>
  </si>
  <si>
    <t> 0.29768 </t>
  </si>
  <si>
    <t> J.Trnka &amp; M.Klos </t>
  </si>
  <si>
    <t>OEJV 137 </t>
  </si>
  <si>
    <t>2455074.4975 </t>
  </si>
  <si>
    <t> 30.08.2009 23:56 </t>
  </si>
  <si>
    <t>23609.5</t>
  </si>
  <si>
    <t> 0.1535 </t>
  </si>
  <si>
    <t>BAVM 212 </t>
  </si>
  <si>
    <t>2455380.4858 </t>
  </si>
  <si>
    <t> 02.07.2010 23:39 </t>
  </si>
  <si>
    <t>23894.5</t>
  </si>
  <si>
    <t> 0.2430 </t>
  </si>
  <si>
    <t>o</t>
  </si>
  <si>
    <t>BAVM 215 </t>
  </si>
  <si>
    <t>2455387.4713 </t>
  </si>
  <si>
    <t> 09.07.2010 23:18 </t>
  </si>
  <si>
    <t>23901</t>
  </si>
  <si>
    <t> 0.2519 </t>
  </si>
  <si>
    <t>2455409.4556 </t>
  </si>
  <si>
    <t> 31.07.2010 22:56 </t>
  </si>
  <si>
    <t>23921.5</t>
  </si>
  <si>
    <t> 0.2329 </t>
  </si>
  <si>
    <t>2455418.3732 </t>
  </si>
  <si>
    <t> 09.08.2010 20:57 </t>
  </si>
  <si>
    <t>23930</t>
  </si>
  <si>
    <t> 0.0272 </t>
  </si>
  <si>
    <t>2455429.3732 </t>
  </si>
  <si>
    <t> 20.08.2010 20:57 </t>
  </si>
  <si>
    <t>23940</t>
  </si>
  <si>
    <t> 0.2939 </t>
  </si>
  <si>
    <t>2456136.5454 </t>
  </si>
  <si>
    <t> 28.07.2012 01:05 </t>
  </si>
  <si>
    <t>24599</t>
  </si>
  <si>
    <t> 0.1423 </t>
  </si>
  <si>
    <t>BAVM 228 </t>
  </si>
  <si>
    <t>2456500.4726 </t>
  </si>
  <si>
    <t> 26.07.2013 23:20 </t>
  </si>
  <si>
    <t>24938</t>
  </si>
  <si>
    <t> 0.2110 </t>
  </si>
  <si>
    <t>BAVM 232 </t>
  </si>
  <si>
    <t>2456577.2958 </t>
  </si>
  <si>
    <t> 11.10.2013 19:05 </t>
  </si>
  <si>
    <t>25009.5</t>
  </si>
  <si>
    <t> 0.2912 </t>
  </si>
  <si>
    <t>BAVM 234 </t>
  </si>
  <si>
    <t>2456579.3658 </t>
  </si>
  <si>
    <t> 13.10.2013 20:46 </t>
  </si>
  <si>
    <t>25011.5</t>
  </si>
  <si>
    <t> 0.2145 </t>
  </si>
  <si>
    <t>2456897.5153 </t>
  </si>
  <si>
    <t> 28.08.2014 00:22 </t>
  </si>
  <si>
    <t>25308</t>
  </si>
  <si>
    <t> 0.1220 </t>
  </si>
  <si>
    <t> F.Agerer </t>
  </si>
  <si>
    <t>BAVM 238 </t>
  </si>
  <si>
    <t>2456908.3782 </t>
  </si>
  <si>
    <t> 07.09.2014 21:04 </t>
  </si>
  <si>
    <t>25318</t>
  </si>
  <si>
    <t> 0.2516 </t>
  </si>
  <si>
    <t>BAVM 239 </t>
  </si>
  <si>
    <t>2456918.4627 </t>
  </si>
  <si>
    <t> 17.09.2014 23:06 </t>
  </si>
  <si>
    <t>25327.5</t>
  </si>
  <si>
    <t> 0.1395 </t>
  </si>
  <si>
    <t>2457258.339 </t>
  </si>
  <si>
    <t> 23.08.2015 20:08 </t>
  </si>
  <si>
    <t>25644</t>
  </si>
  <si>
    <t> 0.307 </t>
  </si>
  <si>
    <t> H.Braunwarth </t>
  </si>
  <si>
    <t>BAVM 241 (=IBVS 6157) </t>
  </si>
  <si>
    <t>II</t>
  </si>
  <si>
    <t>IBVS 6157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</si>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</sst>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sz val="10"/>
      <color indexed="8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indexed="16"/>
      <name val="Arial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6" fillId="0" borderId="0" xfId="42" applyFont="1" applyAlignment="1">
      <alignment horizontal="left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9" fillId="0" borderId="0" xfId="0" applyFont="1" applyAlignment="1">
      <alignment horizontal="left"/>
    </xf>
    <xf numFmtId="0" fontId="0" fillId="0" borderId="0" xfId="0" quotePrefix="1" applyAlignment="1"/>
    <xf numFmtId="0" fontId="37" fillId="0" borderId="8" xfId="0" applyFont="1" applyBorder="1" applyAlignment="1">
      <alignment horizont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6" fontId="38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Lyr - O-C Diagr.</a:t>
            </a:r>
          </a:p>
        </c:rich>
      </c:tx>
      <c:layout>
        <c:manualLayout>
          <c:xMode val="edge"/>
          <c:yMode val="edge"/>
          <c:x val="0.3812604361449972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46274.5</c:v>
                </c:pt>
                <c:pt idx="2">
                  <c:v>48963.5</c:v>
                </c:pt>
                <c:pt idx="3">
                  <c:v>48985</c:v>
                </c:pt>
                <c:pt idx="4">
                  <c:v>49576.5</c:v>
                </c:pt>
                <c:pt idx="5">
                  <c:v>49590</c:v>
                </c:pt>
                <c:pt idx="6">
                  <c:v>49632.5</c:v>
                </c:pt>
                <c:pt idx="7">
                  <c:v>49649.5</c:v>
                </c:pt>
                <c:pt idx="8">
                  <c:v>49650</c:v>
                </c:pt>
                <c:pt idx="9">
                  <c:v>49671</c:v>
                </c:pt>
                <c:pt idx="10">
                  <c:v>51038</c:v>
                </c:pt>
                <c:pt idx="11">
                  <c:v>51741.5</c:v>
                </c:pt>
                <c:pt idx="12">
                  <c:v>51890</c:v>
                </c:pt>
                <c:pt idx="13">
                  <c:v>51894</c:v>
                </c:pt>
                <c:pt idx="14">
                  <c:v>52509</c:v>
                </c:pt>
                <c:pt idx="15">
                  <c:v>52530</c:v>
                </c:pt>
                <c:pt idx="16">
                  <c:v>52549.5</c:v>
                </c:pt>
                <c:pt idx="17">
                  <c:v>52549.5</c:v>
                </c:pt>
                <c:pt idx="18">
                  <c:v>53206.5</c:v>
                </c:pt>
                <c:pt idx="19">
                  <c:v>54434.5</c:v>
                </c:pt>
                <c:pt idx="20">
                  <c:v>54446</c:v>
                </c:pt>
                <c:pt idx="21">
                  <c:v>54461.5</c:v>
                </c:pt>
                <c:pt idx="22">
                  <c:v>54488.5</c:v>
                </c:pt>
                <c:pt idx="23">
                  <c:v>54515.5</c:v>
                </c:pt>
                <c:pt idx="24">
                  <c:v>54542.5</c:v>
                </c:pt>
                <c:pt idx="25">
                  <c:v>54544.5</c:v>
                </c:pt>
                <c:pt idx="26">
                  <c:v>54598.5</c:v>
                </c:pt>
                <c:pt idx="27">
                  <c:v>54724</c:v>
                </c:pt>
                <c:pt idx="28">
                  <c:v>56707.5</c:v>
                </c:pt>
                <c:pt idx="29">
                  <c:v>56711.5</c:v>
                </c:pt>
                <c:pt idx="30">
                  <c:v>57293.5</c:v>
                </c:pt>
                <c:pt idx="31">
                  <c:v>57430.5</c:v>
                </c:pt>
                <c:pt idx="32">
                  <c:v>57465</c:v>
                </c:pt>
                <c:pt idx="33">
                  <c:v>57482.5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82-4BE8-999F-B70FA4898DB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3.5000000000000001E-3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3.5000000000000001E-3</c:v>
                  </c:pt>
                  <c:pt idx="18">
                    <c:v>3.0000000000000001E-3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4.8999999999999998E-3</c:v>
                  </c:pt>
                  <c:pt idx="3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3.5000000000000001E-3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3.5000000000000001E-3</c:v>
                  </c:pt>
                  <c:pt idx="18">
                    <c:v>3.0000000000000001E-3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4.8999999999999998E-3</c:v>
                  </c:pt>
                  <c:pt idx="3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46274.5</c:v>
                </c:pt>
                <c:pt idx="2">
                  <c:v>48963.5</c:v>
                </c:pt>
                <c:pt idx="3">
                  <c:v>48985</c:v>
                </c:pt>
                <c:pt idx="4">
                  <c:v>49576.5</c:v>
                </c:pt>
                <c:pt idx="5">
                  <c:v>49590</c:v>
                </c:pt>
                <c:pt idx="6">
                  <c:v>49632.5</c:v>
                </c:pt>
                <c:pt idx="7">
                  <c:v>49649.5</c:v>
                </c:pt>
                <c:pt idx="8">
                  <c:v>49650</c:v>
                </c:pt>
                <c:pt idx="9">
                  <c:v>49671</c:v>
                </c:pt>
                <c:pt idx="10">
                  <c:v>51038</c:v>
                </c:pt>
                <c:pt idx="11">
                  <c:v>51741.5</c:v>
                </c:pt>
                <c:pt idx="12">
                  <c:v>51890</c:v>
                </c:pt>
                <c:pt idx="13">
                  <c:v>51894</c:v>
                </c:pt>
                <c:pt idx="14">
                  <c:v>52509</c:v>
                </c:pt>
                <c:pt idx="15">
                  <c:v>52530</c:v>
                </c:pt>
                <c:pt idx="16">
                  <c:v>52549.5</c:v>
                </c:pt>
                <c:pt idx="17">
                  <c:v>52549.5</c:v>
                </c:pt>
                <c:pt idx="18">
                  <c:v>53206.5</c:v>
                </c:pt>
                <c:pt idx="19">
                  <c:v>54434.5</c:v>
                </c:pt>
                <c:pt idx="20">
                  <c:v>54446</c:v>
                </c:pt>
                <c:pt idx="21">
                  <c:v>54461.5</c:v>
                </c:pt>
                <c:pt idx="22">
                  <c:v>54488.5</c:v>
                </c:pt>
                <c:pt idx="23">
                  <c:v>54515.5</c:v>
                </c:pt>
                <c:pt idx="24">
                  <c:v>54542.5</c:v>
                </c:pt>
                <c:pt idx="25">
                  <c:v>54544.5</c:v>
                </c:pt>
                <c:pt idx="26">
                  <c:v>54598.5</c:v>
                </c:pt>
                <c:pt idx="27">
                  <c:v>54724</c:v>
                </c:pt>
                <c:pt idx="28">
                  <c:v>56707.5</c:v>
                </c:pt>
                <c:pt idx="29">
                  <c:v>56711.5</c:v>
                </c:pt>
                <c:pt idx="30">
                  <c:v>57293.5</c:v>
                </c:pt>
                <c:pt idx="31">
                  <c:v>57430.5</c:v>
                </c:pt>
                <c:pt idx="32">
                  <c:v>57465</c:v>
                </c:pt>
                <c:pt idx="33">
                  <c:v>57482.5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82-4BE8-999F-B70FA4898DB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3.5000000000000001E-3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3.5000000000000001E-3</c:v>
                  </c:pt>
                  <c:pt idx="18">
                    <c:v>3.0000000000000001E-3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4.8999999999999998E-3</c:v>
                  </c:pt>
                  <c:pt idx="3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3.5000000000000001E-3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3.5000000000000001E-3</c:v>
                  </c:pt>
                  <c:pt idx="18">
                    <c:v>3.0000000000000001E-3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4.8999999999999998E-3</c:v>
                  </c:pt>
                  <c:pt idx="3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46274.5</c:v>
                </c:pt>
                <c:pt idx="2">
                  <c:v>48963.5</c:v>
                </c:pt>
                <c:pt idx="3">
                  <c:v>48985</c:v>
                </c:pt>
                <c:pt idx="4">
                  <c:v>49576.5</c:v>
                </c:pt>
                <c:pt idx="5">
                  <c:v>49590</c:v>
                </c:pt>
                <c:pt idx="6">
                  <c:v>49632.5</c:v>
                </c:pt>
                <c:pt idx="7">
                  <c:v>49649.5</c:v>
                </c:pt>
                <c:pt idx="8">
                  <c:v>49650</c:v>
                </c:pt>
                <c:pt idx="9">
                  <c:v>49671</c:v>
                </c:pt>
                <c:pt idx="10">
                  <c:v>51038</c:v>
                </c:pt>
                <c:pt idx="11">
                  <c:v>51741.5</c:v>
                </c:pt>
                <c:pt idx="12">
                  <c:v>51890</c:v>
                </c:pt>
                <c:pt idx="13">
                  <c:v>51894</c:v>
                </c:pt>
                <c:pt idx="14">
                  <c:v>52509</c:v>
                </c:pt>
                <c:pt idx="15">
                  <c:v>52530</c:v>
                </c:pt>
                <c:pt idx="16">
                  <c:v>52549.5</c:v>
                </c:pt>
                <c:pt idx="17">
                  <c:v>52549.5</c:v>
                </c:pt>
                <c:pt idx="18">
                  <c:v>53206.5</c:v>
                </c:pt>
                <c:pt idx="19">
                  <c:v>54434.5</c:v>
                </c:pt>
                <c:pt idx="20">
                  <c:v>54446</c:v>
                </c:pt>
                <c:pt idx="21">
                  <c:v>54461.5</c:v>
                </c:pt>
                <c:pt idx="22">
                  <c:v>54488.5</c:v>
                </c:pt>
                <c:pt idx="23">
                  <c:v>54515.5</c:v>
                </c:pt>
                <c:pt idx="24">
                  <c:v>54542.5</c:v>
                </c:pt>
                <c:pt idx="25">
                  <c:v>54544.5</c:v>
                </c:pt>
                <c:pt idx="26">
                  <c:v>54598.5</c:v>
                </c:pt>
                <c:pt idx="27">
                  <c:v>54724</c:v>
                </c:pt>
                <c:pt idx="28">
                  <c:v>56707.5</c:v>
                </c:pt>
                <c:pt idx="29">
                  <c:v>56711.5</c:v>
                </c:pt>
                <c:pt idx="30">
                  <c:v>57293.5</c:v>
                </c:pt>
                <c:pt idx="31">
                  <c:v>57430.5</c:v>
                </c:pt>
                <c:pt idx="32">
                  <c:v>57465</c:v>
                </c:pt>
                <c:pt idx="33">
                  <c:v>57482.5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">
                  <c:v>-4.2714499999419786E-2</c:v>
                </c:pt>
                <c:pt idx="4">
                  <c:v>-6.1756499999319203E-2</c:v>
                </c:pt>
                <c:pt idx="5">
                  <c:v>-6.0090000006312039E-2</c:v>
                </c:pt>
                <c:pt idx="6">
                  <c:v>-6.1932500000693835E-2</c:v>
                </c:pt>
                <c:pt idx="8">
                  <c:v>-5.9050000003480818E-2</c:v>
                </c:pt>
                <c:pt idx="9">
                  <c:v>-6.119100000069011E-2</c:v>
                </c:pt>
                <c:pt idx="10">
                  <c:v>-6.6797999999835156E-2</c:v>
                </c:pt>
                <c:pt idx="11">
                  <c:v>-7.4921500003256369E-2</c:v>
                </c:pt>
                <c:pt idx="12">
                  <c:v>-7.3889999999664724E-2</c:v>
                </c:pt>
                <c:pt idx="13">
                  <c:v>-7.3174000004655682E-2</c:v>
                </c:pt>
                <c:pt idx="14">
                  <c:v>-7.6089000001957174E-2</c:v>
                </c:pt>
                <c:pt idx="15">
                  <c:v>-7.6930000002903398E-2</c:v>
                </c:pt>
                <c:pt idx="16">
                  <c:v>-8.0189500004053116E-2</c:v>
                </c:pt>
                <c:pt idx="18">
                  <c:v>-8.3786499999405351E-2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82-4BE8-999F-B70FA4898DB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3.5000000000000001E-3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3.5000000000000001E-3</c:v>
                  </c:pt>
                  <c:pt idx="18">
                    <c:v>3.0000000000000001E-3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4.8999999999999998E-3</c:v>
                  </c:pt>
                  <c:pt idx="3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3.5000000000000001E-3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3.5000000000000001E-3</c:v>
                  </c:pt>
                  <c:pt idx="18">
                    <c:v>3.0000000000000001E-3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4.8999999999999998E-3</c:v>
                  </c:pt>
                  <c:pt idx="3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46274.5</c:v>
                </c:pt>
                <c:pt idx="2">
                  <c:v>48963.5</c:v>
                </c:pt>
                <c:pt idx="3">
                  <c:v>48985</c:v>
                </c:pt>
                <c:pt idx="4">
                  <c:v>49576.5</c:v>
                </c:pt>
                <c:pt idx="5">
                  <c:v>49590</c:v>
                </c:pt>
                <c:pt idx="6">
                  <c:v>49632.5</c:v>
                </c:pt>
                <c:pt idx="7">
                  <c:v>49649.5</c:v>
                </c:pt>
                <c:pt idx="8">
                  <c:v>49650</c:v>
                </c:pt>
                <c:pt idx="9">
                  <c:v>49671</c:v>
                </c:pt>
                <c:pt idx="10">
                  <c:v>51038</c:v>
                </c:pt>
                <c:pt idx="11">
                  <c:v>51741.5</c:v>
                </c:pt>
                <c:pt idx="12">
                  <c:v>51890</c:v>
                </c:pt>
                <c:pt idx="13">
                  <c:v>51894</c:v>
                </c:pt>
                <c:pt idx="14">
                  <c:v>52509</c:v>
                </c:pt>
                <c:pt idx="15">
                  <c:v>52530</c:v>
                </c:pt>
                <c:pt idx="16">
                  <c:v>52549.5</c:v>
                </c:pt>
                <c:pt idx="17">
                  <c:v>52549.5</c:v>
                </c:pt>
                <c:pt idx="18">
                  <c:v>53206.5</c:v>
                </c:pt>
                <c:pt idx="19">
                  <c:v>54434.5</c:v>
                </c:pt>
                <c:pt idx="20">
                  <c:v>54446</c:v>
                </c:pt>
                <c:pt idx="21">
                  <c:v>54461.5</c:v>
                </c:pt>
                <c:pt idx="22">
                  <c:v>54488.5</c:v>
                </c:pt>
                <c:pt idx="23">
                  <c:v>54515.5</c:v>
                </c:pt>
                <c:pt idx="24">
                  <c:v>54542.5</c:v>
                </c:pt>
                <c:pt idx="25">
                  <c:v>54544.5</c:v>
                </c:pt>
                <c:pt idx="26">
                  <c:v>54598.5</c:v>
                </c:pt>
                <c:pt idx="27">
                  <c:v>54724</c:v>
                </c:pt>
                <c:pt idx="28">
                  <c:v>56707.5</c:v>
                </c:pt>
                <c:pt idx="29">
                  <c:v>56711.5</c:v>
                </c:pt>
                <c:pt idx="30">
                  <c:v>57293.5</c:v>
                </c:pt>
                <c:pt idx="31">
                  <c:v>57430.5</c:v>
                </c:pt>
                <c:pt idx="32">
                  <c:v>57465</c:v>
                </c:pt>
                <c:pt idx="33">
                  <c:v>57482.5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2">
                  <c:v>-5.8033500004967209E-2</c:v>
                </c:pt>
                <c:pt idx="3">
                  <c:v>-5.4685000002791639E-2</c:v>
                </c:pt>
                <c:pt idx="17">
                  <c:v>-8.0189500004053116E-2</c:v>
                </c:pt>
                <c:pt idx="19">
                  <c:v>-9.4274499999301042E-2</c:v>
                </c:pt>
                <c:pt idx="20">
                  <c:v>-9.2766000001574866E-2</c:v>
                </c:pt>
                <c:pt idx="21">
                  <c:v>-9.3941499995708E-2</c:v>
                </c:pt>
                <c:pt idx="22">
                  <c:v>-9.4708500000706408E-2</c:v>
                </c:pt>
                <c:pt idx="23">
                  <c:v>-9.4275499999639578E-2</c:v>
                </c:pt>
                <c:pt idx="24">
                  <c:v>-9.5142499994835816E-2</c:v>
                </c:pt>
                <c:pt idx="25">
                  <c:v>-9.5284499999252148E-2</c:v>
                </c:pt>
                <c:pt idx="26">
                  <c:v>-9.5618500003183726E-2</c:v>
                </c:pt>
                <c:pt idx="27">
                  <c:v>-9.5804000004136469E-2</c:v>
                </c:pt>
                <c:pt idx="28">
                  <c:v>-0.10910750000039116</c:v>
                </c:pt>
                <c:pt idx="29">
                  <c:v>-0.10959150000417139</c:v>
                </c:pt>
                <c:pt idx="30">
                  <c:v>-0.11471349999919767</c:v>
                </c:pt>
                <c:pt idx="31">
                  <c:v>-0.11439049999898998</c:v>
                </c:pt>
                <c:pt idx="32">
                  <c:v>-0.11386500000662636</c:v>
                </c:pt>
                <c:pt idx="33">
                  <c:v>-0.11498249999567633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82-4BE8-999F-B70FA4898DB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3.5000000000000001E-3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3.5000000000000001E-3</c:v>
                  </c:pt>
                  <c:pt idx="18">
                    <c:v>3.0000000000000001E-3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4.8999999999999998E-3</c:v>
                  </c:pt>
                  <c:pt idx="3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3.5000000000000001E-3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3.5000000000000001E-3</c:v>
                  </c:pt>
                  <c:pt idx="18">
                    <c:v>3.0000000000000001E-3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4.8999999999999998E-3</c:v>
                  </c:pt>
                  <c:pt idx="3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46274.5</c:v>
                </c:pt>
                <c:pt idx="2">
                  <c:v>48963.5</c:v>
                </c:pt>
                <c:pt idx="3">
                  <c:v>48985</c:v>
                </c:pt>
                <c:pt idx="4">
                  <c:v>49576.5</c:v>
                </c:pt>
                <c:pt idx="5">
                  <c:v>49590</c:v>
                </c:pt>
                <c:pt idx="6">
                  <c:v>49632.5</c:v>
                </c:pt>
                <c:pt idx="7">
                  <c:v>49649.5</c:v>
                </c:pt>
                <c:pt idx="8">
                  <c:v>49650</c:v>
                </c:pt>
                <c:pt idx="9">
                  <c:v>49671</c:v>
                </c:pt>
                <c:pt idx="10">
                  <c:v>51038</c:v>
                </c:pt>
                <c:pt idx="11">
                  <c:v>51741.5</c:v>
                </c:pt>
                <c:pt idx="12">
                  <c:v>51890</c:v>
                </c:pt>
                <c:pt idx="13">
                  <c:v>51894</c:v>
                </c:pt>
                <c:pt idx="14">
                  <c:v>52509</c:v>
                </c:pt>
                <c:pt idx="15">
                  <c:v>52530</c:v>
                </c:pt>
                <c:pt idx="16">
                  <c:v>52549.5</c:v>
                </c:pt>
                <c:pt idx="17">
                  <c:v>52549.5</c:v>
                </c:pt>
                <c:pt idx="18">
                  <c:v>53206.5</c:v>
                </c:pt>
                <c:pt idx="19">
                  <c:v>54434.5</c:v>
                </c:pt>
                <c:pt idx="20">
                  <c:v>54446</c:v>
                </c:pt>
                <c:pt idx="21">
                  <c:v>54461.5</c:v>
                </c:pt>
                <c:pt idx="22">
                  <c:v>54488.5</c:v>
                </c:pt>
                <c:pt idx="23">
                  <c:v>54515.5</c:v>
                </c:pt>
                <c:pt idx="24">
                  <c:v>54542.5</c:v>
                </c:pt>
                <c:pt idx="25">
                  <c:v>54544.5</c:v>
                </c:pt>
                <c:pt idx="26">
                  <c:v>54598.5</c:v>
                </c:pt>
                <c:pt idx="27">
                  <c:v>54724</c:v>
                </c:pt>
                <c:pt idx="28">
                  <c:v>56707.5</c:v>
                </c:pt>
                <c:pt idx="29">
                  <c:v>56711.5</c:v>
                </c:pt>
                <c:pt idx="30">
                  <c:v>57293.5</c:v>
                </c:pt>
                <c:pt idx="31">
                  <c:v>57430.5</c:v>
                </c:pt>
                <c:pt idx="32">
                  <c:v>57465</c:v>
                </c:pt>
                <c:pt idx="33">
                  <c:v>57482.5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82-4BE8-999F-B70FA4898DB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3.5000000000000001E-3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3.5000000000000001E-3</c:v>
                  </c:pt>
                  <c:pt idx="18">
                    <c:v>3.0000000000000001E-3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4.8999999999999998E-3</c:v>
                  </c:pt>
                  <c:pt idx="3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3.5000000000000001E-3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3.5000000000000001E-3</c:v>
                  </c:pt>
                  <c:pt idx="18">
                    <c:v>3.0000000000000001E-3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4.8999999999999998E-3</c:v>
                  </c:pt>
                  <c:pt idx="3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46274.5</c:v>
                </c:pt>
                <c:pt idx="2">
                  <c:v>48963.5</c:v>
                </c:pt>
                <c:pt idx="3">
                  <c:v>48985</c:v>
                </c:pt>
                <c:pt idx="4">
                  <c:v>49576.5</c:v>
                </c:pt>
                <c:pt idx="5">
                  <c:v>49590</c:v>
                </c:pt>
                <c:pt idx="6">
                  <c:v>49632.5</c:v>
                </c:pt>
                <c:pt idx="7">
                  <c:v>49649.5</c:v>
                </c:pt>
                <c:pt idx="8">
                  <c:v>49650</c:v>
                </c:pt>
                <c:pt idx="9">
                  <c:v>49671</c:v>
                </c:pt>
                <c:pt idx="10">
                  <c:v>51038</c:v>
                </c:pt>
                <c:pt idx="11">
                  <c:v>51741.5</c:v>
                </c:pt>
                <c:pt idx="12">
                  <c:v>51890</c:v>
                </c:pt>
                <c:pt idx="13">
                  <c:v>51894</c:v>
                </c:pt>
                <c:pt idx="14">
                  <c:v>52509</c:v>
                </c:pt>
                <c:pt idx="15">
                  <c:v>52530</c:v>
                </c:pt>
                <c:pt idx="16">
                  <c:v>52549.5</c:v>
                </c:pt>
                <c:pt idx="17">
                  <c:v>52549.5</c:v>
                </c:pt>
                <c:pt idx="18">
                  <c:v>53206.5</c:v>
                </c:pt>
                <c:pt idx="19">
                  <c:v>54434.5</c:v>
                </c:pt>
                <c:pt idx="20">
                  <c:v>54446</c:v>
                </c:pt>
                <c:pt idx="21">
                  <c:v>54461.5</c:v>
                </c:pt>
                <c:pt idx="22">
                  <c:v>54488.5</c:v>
                </c:pt>
                <c:pt idx="23">
                  <c:v>54515.5</c:v>
                </c:pt>
                <c:pt idx="24">
                  <c:v>54542.5</c:v>
                </c:pt>
                <c:pt idx="25">
                  <c:v>54544.5</c:v>
                </c:pt>
                <c:pt idx="26">
                  <c:v>54598.5</c:v>
                </c:pt>
                <c:pt idx="27">
                  <c:v>54724</c:v>
                </c:pt>
                <c:pt idx="28">
                  <c:v>56707.5</c:v>
                </c:pt>
                <c:pt idx="29">
                  <c:v>56711.5</c:v>
                </c:pt>
                <c:pt idx="30">
                  <c:v>57293.5</c:v>
                </c:pt>
                <c:pt idx="31">
                  <c:v>57430.5</c:v>
                </c:pt>
                <c:pt idx="32">
                  <c:v>57465</c:v>
                </c:pt>
                <c:pt idx="33">
                  <c:v>57482.5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82-4BE8-999F-B70FA4898DB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3.5000000000000001E-3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3.5000000000000001E-3</c:v>
                  </c:pt>
                  <c:pt idx="18">
                    <c:v>3.0000000000000001E-3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4.8999999999999998E-3</c:v>
                  </c:pt>
                  <c:pt idx="3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3.5000000000000001E-3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3.5000000000000001E-3</c:v>
                  </c:pt>
                  <c:pt idx="18">
                    <c:v>3.0000000000000001E-3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4.8999999999999998E-3</c:v>
                  </c:pt>
                  <c:pt idx="3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46274.5</c:v>
                </c:pt>
                <c:pt idx="2">
                  <c:v>48963.5</c:v>
                </c:pt>
                <c:pt idx="3">
                  <c:v>48985</c:v>
                </c:pt>
                <c:pt idx="4">
                  <c:v>49576.5</c:v>
                </c:pt>
                <c:pt idx="5">
                  <c:v>49590</c:v>
                </c:pt>
                <c:pt idx="6">
                  <c:v>49632.5</c:v>
                </c:pt>
                <c:pt idx="7">
                  <c:v>49649.5</c:v>
                </c:pt>
                <c:pt idx="8">
                  <c:v>49650</c:v>
                </c:pt>
                <c:pt idx="9">
                  <c:v>49671</c:v>
                </c:pt>
                <c:pt idx="10">
                  <c:v>51038</c:v>
                </c:pt>
                <c:pt idx="11">
                  <c:v>51741.5</c:v>
                </c:pt>
                <c:pt idx="12">
                  <c:v>51890</c:v>
                </c:pt>
                <c:pt idx="13">
                  <c:v>51894</c:v>
                </c:pt>
                <c:pt idx="14">
                  <c:v>52509</c:v>
                </c:pt>
                <c:pt idx="15">
                  <c:v>52530</c:v>
                </c:pt>
                <c:pt idx="16">
                  <c:v>52549.5</c:v>
                </c:pt>
                <c:pt idx="17">
                  <c:v>52549.5</c:v>
                </c:pt>
                <c:pt idx="18">
                  <c:v>53206.5</c:v>
                </c:pt>
                <c:pt idx="19">
                  <c:v>54434.5</c:v>
                </c:pt>
                <c:pt idx="20">
                  <c:v>54446</c:v>
                </c:pt>
                <c:pt idx="21">
                  <c:v>54461.5</c:v>
                </c:pt>
                <c:pt idx="22">
                  <c:v>54488.5</c:v>
                </c:pt>
                <c:pt idx="23">
                  <c:v>54515.5</c:v>
                </c:pt>
                <c:pt idx="24">
                  <c:v>54542.5</c:v>
                </c:pt>
                <c:pt idx="25">
                  <c:v>54544.5</c:v>
                </c:pt>
                <c:pt idx="26">
                  <c:v>54598.5</c:v>
                </c:pt>
                <c:pt idx="27">
                  <c:v>54724</c:v>
                </c:pt>
                <c:pt idx="28">
                  <c:v>56707.5</c:v>
                </c:pt>
                <c:pt idx="29">
                  <c:v>56711.5</c:v>
                </c:pt>
                <c:pt idx="30">
                  <c:v>57293.5</c:v>
                </c:pt>
                <c:pt idx="31">
                  <c:v>57430.5</c:v>
                </c:pt>
                <c:pt idx="32">
                  <c:v>57465</c:v>
                </c:pt>
                <c:pt idx="33">
                  <c:v>57482.5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82-4BE8-999F-B70FA4898DB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46274.5</c:v>
                </c:pt>
                <c:pt idx="2">
                  <c:v>48963.5</c:v>
                </c:pt>
                <c:pt idx="3">
                  <c:v>48985</c:v>
                </c:pt>
                <c:pt idx="4">
                  <c:v>49576.5</c:v>
                </c:pt>
                <c:pt idx="5">
                  <c:v>49590</c:v>
                </c:pt>
                <c:pt idx="6">
                  <c:v>49632.5</c:v>
                </c:pt>
                <c:pt idx="7">
                  <c:v>49649.5</c:v>
                </c:pt>
                <c:pt idx="8">
                  <c:v>49650</c:v>
                </c:pt>
                <c:pt idx="9">
                  <c:v>49671</c:v>
                </c:pt>
                <c:pt idx="10">
                  <c:v>51038</c:v>
                </c:pt>
                <c:pt idx="11">
                  <c:v>51741.5</c:v>
                </c:pt>
                <c:pt idx="12">
                  <c:v>51890</c:v>
                </c:pt>
                <c:pt idx="13">
                  <c:v>51894</c:v>
                </c:pt>
                <c:pt idx="14">
                  <c:v>52509</c:v>
                </c:pt>
                <c:pt idx="15">
                  <c:v>52530</c:v>
                </c:pt>
                <c:pt idx="16">
                  <c:v>52549.5</c:v>
                </c:pt>
                <c:pt idx="17">
                  <c:v>52549.5</c:v>
                </c:pt>
                <c:pt idx="18">
                  <c:v>53206.5</c:v>
                </c:pt>
                <c:pt idx="19">
                  <c:v>54434.5</c:v>
                </c:pt>
                <c:pt idx="20">
                  <c:v>54446</c:v>
                </c:pt>
                <c:pt idx="21">
                  <c:v>54461.5</c:v>
                </c:pt>
                <c:pt idx="22">
                  <c:v>54488.5</c:v>
                </c:pt>
                <c:pt idx="23">
                  <c:v>54515.5</c:v>
                </c:pt>
                <c:pt idx="24">
                  <c:v>54542.5</c:v>
                </c:pt>
                <c:pt idx="25">
                  <c:v>54544.5</c:v>
                </c:pt>
                <c:pt idx="26">
                  <c:v>54598.5</c:v>
                </c:pt>
                <c:pt idx="27">
                  <c:v>54724</c:v>
                </c:pt>
                <c:pt idx="28">
                  <c:v>56707.5</c:v>
                </c:pt>
                <c:pt idx="29">
                  <c:v>56711.5</c:v>
                </c:pt>
                <c:pt idx="30">
                  <c:v>57293.5</c:v>
                </c:pt>
                <c:pt idx="31">
                  <c:v>57430.5</c:v>
                </c:pt>
                <c:pt idx="32">
                  <c:v>57465</c:v>
                </c:pt>
                <c:pt idx="33">
                  <c:v>57482.5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0.27834241165120716</c:v>
                </c:pt>
                <c:pt idx="1">
                  <c:v>-3.7616978453198113E-2</c:v>
                </c:pt>
                <c:pt idx="2">
                  <c:v>-5.5977302173405685E-2</c:v>
                </c:pt>
                <c:pt idx="3">
                  <c:v>-5.6124102827918299E-2</c:v>
                </c:pt>
                <c:pt idx="4">
                  <c:v>-6.0162827811370445E-2</c:v>
                </c:pt>
                <c:pt idx="5">
                  <c:v>-6.0255004966529524E-2</c:v>
                </c:pt>
                <c:pt idx="6">
                  <c:v>-6.0545192306845241E-2</c:v>
                </c:pt>
                <c:pt idx="7">
                  <c:v>-6.0661267242971495E-2</c:v>
                </c:pt>
                <c:pt idx="8">
                  <c:v>-6.066468121168106E-2</c:v>
                </c:pt>
                <c:pt idx="9">
                  <c:v>-6.0808067897484108E-2</c:v>
                </c:pt>
                <c:pt idx="10">
                  <c:v>-7.0141858349519748E-2</c:v>
                </c:pt>
                <c:pt idx="11">
                  <c:v>-7.4945312323921376E-2</c:v>
                </c:pt>
                <c:pt idx="12">
                  <c:v>-7.595926103067141E-2</c:v>
                </c:pt>
                <c:pt idx="13">
                  <c:v>-7.5986572780348149E-2</c:v>
                </c:pt>
                <c:pt idx="14">
                  <c:v>-8.0185754293151335E-2</c:v>
                </c:pt>
                <c:pt idx="15">
                  <c:v>-8.0329140978954328E-2</c:v>
                </c:pt>
                <c:pt idx="16">
                  <c:v>-8.0462285758628571E-2</c:v>
                </c:pt>
                <c:pt idx="17">
                  <c:v>-8.0462285758628571E-2</c:v>
                </c:pt>
                <c:pt idx="18">
                  <c:v>-8.4948240643037798E-2</c:v>
                </c:pt>
                <c:pt idx="19">
                  <c:v>-9.3332947793805743E-2</c:v>
                </c:pt>
                <c:pt idx="20">
                  <c:v>-9.3411469074126452E-2</c:v>
                </c:pt>
                <c:pt idx="21">
                  <c:v>-9.3517302104123901E-2</c:v>
                </c:pt>
                <c:pt idx="22">
                  <c:v>-9.3701656414442114E-2</c:v>
                </c:pt>
                <c:pt idx="23">
                  <c:v>-9.3886010724760272E-2</c:v>
                </c:pt>
                <c:pt idx="24">
                  <c:v>-9.4070365035078485E-2</c:v>
                </c:pt>
                <c:pt idx="25">
                  <c:v>-9.4084020909916855E-2</c:v>
                </c:pt>
                <c:pt idx="26">
                  <c:v>-9.4452729530553226E-2</c:v>
                </c:pt>
                <c:pt idx="27">
                  <c:v>-9.5309635676661841E-2</c:v>
                </c:pt>
                <c:pt idx="28">
                  <c:v>-0.10885284954762936</c:v>
                </c:pt>
                <c:pt idx="29">
                  <c:v>-0.10888016129730615</c:v>
                </c:pt>
                <c:pt idx="30">
                  <c:v>-0.11285402087527596</c:v>
                </c:pt>
                <c:pt idx="31">
                  <c:v>-0.11378944830170529</c:v>
                </c:pt>
                <c:pt idx="32">
                  <c:v>-0.11402501214266741</c:v>
                </c:pt>
                <c:pt idx="33">
                  <c:v>-0.11414450104750329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82-4BE8-999F-B70FA4898DB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46274.5</c:v>
                </c:pt>
                <c:pt idx="2">
                  <c:v>48963.5</c:v>
                </c:pt>
                <c:pt idx="3">
                  <c:v>48985</c:v>
                </c:pt>
                <c:pt idx="4">
                  <c:v>49576.5</c:v>
                </c:pt>
                <c:pt idx="5">
                  <c:v>49590</c:v>
                </c:pt>
                <c:pt idx="6">
                  <c:v>49632.5</c:v>
                </c:pt>
                <c:pt idx="7">
                  <c:v>49649.5</c:v>
                </c:pt>
                <c:pt idx="8">
                  <c:v>49650</c:v>
                </c:pt>
                <c:pt idx="9">
                  <c:v>49671</c:v>
                </c:pt>
                <c:pt idx="10">
                  <c:v>51038</c:v>
                </c:pt>
                <c:pt idx="11">
                  <c:v>51741.5</c:v>
                </c:pt>
                <c:pt idx="12">
                  <c:v>51890</c:v>
                </c:pt>
                <c:pt idx="13">
                  <c:v>51894</c:v>
                </c:pt>
                <c:pt idx="14">
                  <c:v>52509</c:v>
                </c:pt>
                <c:pt idx="15">
                  <c:v>52530</c:v>
                </c:pt>
                <c:pt idx="16">
                  <c:v>52549.5</c:v>
                </c:pt>
                <c:pt idx="17">
                  <c:v>52549.5</c:v>
                </c:pt>
                <c:pt idx="18">
                  <c:v>53206.5</c:v>
                </c:pt>
                <c:pt idx="19">
                  <c:v>54434.5</c:v>
                </c:pt>
                <c:pt idx="20">
                  <c:v>54446</c:v>
                </c:pt>
                <c:pt idx="21">
                  <c:v>54461.5</c:v>
                </c:pt>
                <c:pt idx="22">
                  <c:v>54488.5</c:v>
                </c:pt>
                <c:pt idx="23">
                  <c:v>54515.5</c:v>
                </c:pt>
                <c:pt idx="24">
                  <c:v>54542.5</c:v>
                </c:pt>
                <c:pt idx="25">
                  <c:v>54544.5</c:v>
                </c:pt>
                <c:pt idx="26">
                  <c:v>54598.5</c:v>
                </c:pt>
                <c:pt idx="27">
                  <c:v>54724</c:v>
                </c:pt>
                <c:pt idx="28">
                  <c:v>56707.5</c:v>
                </c:pt>
                <c:pt idx="29">
                  <c:v>56711.5</c:v>
                </c:pt>
                <c:pt idx="30">
                  <c:v>57293.5</c:v>
                </c:pt>
                <c:pt idx="31">
                  <c:v>57430.5</c:v>
                </c:pt>
                <c:pt idx="32">
                  <c:v>57465</c:v>
                </c:pt>
                <c:pt idx="33">
                  <c:v>57482.5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  <c:pt idx="7">
                  <c:v>6.1210500003653578E-2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F82-4BE8-999F-B70FA4898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811888"/>
        <c:axId val="1"/>
      </c:scatterChart>
      <c:valAx>
        <c:axId val="398811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8811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09063810480879"/>
          <c:y val="0.92073298764483702"/>
          <c:w val="0.777060452257684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Lyr - O-C Diagr.</a:t>
            </a:r>
          </a:p>
        </c:rich>
      </c:tx>
      <c:layout>
        <c:manualLayout>
          <c:xMode val="edge"/>
          <c:yMode val="edge"/>
          <c:x val="0.3812604361449972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634168126798494"/>
          <c:w val="0.81906365094252553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22303.5</c:v>
                </c:pt>
                <c:pt idx="2">
                  <c:v>23599.5</c:v>
                </c:pt>
                <c:pt idx="3">
                  <c:v>23609.5</c:v>
                </c:pt>
                <c:pt idx="4">
                  <c:v>23894.5</c:v>
                </c:pt>
                <c:pt idx="5">
                  <c:v>23901</c:v>
                </c:pt>
                <c:pt idx="6">
                  <c:v>23921.5</c:v>
                </c:pt>
                <c:pt idx="7">
                  <c:v>23930</c:v>
                </c:pt>
                <c:pt idx="8">
                  <c:v>23930</c:v>
                </c:pt>
                <c:pt idx="9">
                  <c:v>23940.5</c:v>
                </c:pt>
                <c:pt idx="10">
                  <c:v>24599</c:v>
                </c:pt>
                <c:pt idx="11">
                  <c:v>24938</c:v>
                </c:pt>
                <c:pt idx="12">
                  <c:v>25010</c:v>
                </c:pt>
                <c:pt idx="13">
                  <c:v>25011.5</c:v>
                </c:pt>
                <c:pt idx="14">
                  <c:v>25308</c:v>
                </c:pt>
                <c:pt idx="15">
                  <c:v>25318</c:v>
                </c:pt>
                <c:pt idx="16">
                  <c:v>25327.5</c:v>
                </c:pt>
                <c:pt idx="17">
                  <c:v>25327.5</c:v>
                </c:pt>
                <c:pt idx="18">
                  <c:v>25644.5</c:v>
                </c:pt>
                <c:pt idx="19">
                  <c:v>26236</c:v>
                </c:pt>
                <c:pt idx="20">
                  <c:v>26241.5</c:v>
                </c:pt>
                <c:pt idx="21">
                  <c:v>26249</c:v>
                </c:pt>
                <c:pt idx="22">
                  <c:v>26262</c:v>
                </c:pt>
                <c:pt idx="23">
                  <c:v>26275</c:v>
                </c:pt>
                <c:pt idx="24">
                  <c:v>26288</c:v>
                </c:pt>
                <c:pt idx="25">
                  <c:v>26289</c:v>
                </c:pt>
                <c:pt idx="26">
                  <c:v>26315</c:v>
                </c:pt>
                <c:pt idx="27">
                  <c:v>26375.5</c:v>
                </c:pt>
                <c:pt idx="28">
                  <c:v>27331.5</c:v>
                </c:pt>
                <c:pt idx="29">
                  <c:v>27333.5</c:v>
                </c:pt>
                <c:pt idx="30">
                  <c:v>27614</c:v>
                </c:pt>
                <c:pt idx="31">
                  <c:v>27680</c:v>
                </c:pt>
                <c:pt idx="32">
                  <c:v>27697</c:v>
                </c:pt>
                <c:pt idx="33">
                  <c:v>27705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AF-4439-B8E7-EE8B1CA4E39F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3.5000000000000001E-3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3.5000000000000001E-3</c:v>
                  </c:pt>
                  <c:pt idx="18">
                    <c:v>3.0000000000000001E-3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4.8999999999999998E-3</c:v>
                  </c:pt>
                  <c:pt idx="33">
                    <c:v>3.5000000000000001E-3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3.5000000000000001E-3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3.5000000000000001E-3</c:v>
                  </c:pt>
                  <c:pt idx="18">
                    <c:v>3.0000000000000001E-3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4.8999999999999998E-3</c:v>
                  </c:pt>
                  <c:pt idx="3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22303.5</c:v>
                </c:pt>
                <c:pt idx="2">
                  <c:v>23599.5</c:v>
                </c:pt>
                <c:pt idx="3">
                  <c:v>23609.5</c:v>
                </c:pt>
                <c:pt idx="4">
                  <c:v>23894.5</c:v>
                </c:pt>
                <c:pt idx="5">
                  <c:v>23901</c:v>
                </c:pt>
                <c:pt idx="6">
                  <c:v>23921.5</c:v>
                </c:pt>
                <c:pt idx="7">
                  <c:v>23930</c:v>
                </c:pt>
                <c:pt idx="8">
                  <c:v>23930</c:v>
                </c:pt>
                <c:pt idx="9">
                  <c:v>23940.5</c:v>
                </c:pt>
                <c:pt idx="10">
                  <c:v>24599</c:v>
                </c:pt>
                <c:pt idx="11">
                  <c:v>24938</c:v>
                </c:pt>
                <c:pt idx="12">
                  <c:v>25010</c:v>
                </c:pt>
                <c:pt idx="13">
                  <c:v>25011.5</c:v>
                </c:pt>
                <c:pt idx="14">
                  <c:v>25308</c:v>
                </c:pt>
                <c:pt idx="15">
                  <c:v>25318</c:v>
                </c:pt>
                <c:pt idx="16">
                  <c:v>25327.5</c:v>
                </c:pt>
                <c:pt idx="17">
                  <c:v>25327.5</c:v>
                </c:pt>
                <c:pt idx="18">
                  <c:v>25644.5</c:v>
                </c:pt>
                <c:pt idx="19">
                  <c:v>26236</c:v>
                </c:pt>
                <c:pt idx="20">
                  <c:v>26241.5</c:v>
                </c:pt>
                <c:pt idx="21">
                  <c:v>26249</c:v>
                </c:pt>
                <c:pt idx="22">
                  <c:v>26262</c:v>
                </c:pt>
                <c:pt idx="23">
                  <c:v>26275</c:v>
                </c:pt>
                <c:pt idx="24">
                  <c:v>26288</c:v>
                </c:pt>
                <c:pt idx="25">
                  <c:v>26289</c:v>
                </c:pt>
                <c:pt idx="26">
                  <c:v>26315</c:v>
                </c:pt>
                <c:pt idx="27">
                  <c:v>26375.5</c:v>
                </c:pt>
                <c:pt idx="28">
                  <c:v>27331.5</c:v>
                </c:pt>
                <c:pt idx="29">
                  <c:v>27333.5</c:v>
                </c:pt>
                <c:pt idx="30">
                  <c:v>27614</c:v>
                </c:pt>
                <c:pt idx="31">
                  <c:v>27680</c:v>
                </c:pt>
                <c:pt idx="32">
                  <c:v>27697</c:v>
                </c:pt>
                <c:pt idx="33">
                  <c:v>27705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AF-4439-B8E7-EE8B1CA4E39F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3.5000000000000001E-3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3.5000000000000001E-3</c:v>
                  </c:pt>
                  <c:pt idx="18">
                    <c:v>3.0000000000000001E-3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4.8999999999999998E-3</c:v>
                  </c:pt>
                  <c:pt idx="33">
                    <c:v>3.5000000000000001E-3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3.5000000000000001E-3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3.5000000000000001E-3</c:v>
                  </c:pt>
                  <c:pt idx="18">
                    <c:v>3.0000000000000001E-3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4.8999999999999998E-3</c:v>
                  </c:pt>
                  <c:pt idx="3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22303.5</c:v>
                </c:pt>
                <c:pt idx="2">
                  <c:v>23599.5</c:v>
                </c:pt>
                <c:pt idx="3">
                  <c:v>23609.5</c:v>
                </c:pt>
                <c:pt idx="4">
                  <c:v>23894.5</c:v>
                </c:pt>
                <c:pt idx="5">
                  <c:v>23901</c:v>
                </c:pt>
                <c:pt idx="6">
                  <c:v>23921.5</c:v>
                </c:pt>
                <c:pt idx="7">
                  <c:v>23930</c:v>
                </c:pt>
                <c:pt idx="8">
                  <c:v>23930</c:v>
                </c:pt>
                <c:pt idx="9">
                  <c:v>23940.5</c:v>
                </c:pt>
                <c:pt idx="10">
                  <c:v>24599</c:v>
                </c:pt>
                <c:pt idx="11">
                  <c:v>24938</c:v>
                </c:pt>
                <c:pt idx="12">
                  <c:v>25010</c:v>
                </c:pt>
                <c:pt idx="13">
                  <c:v>25011.5</c:v>
                </c:pt>
                <c:pt idx="14">
                  <c:v>25308</c:v>
                </c:pt>
                <c:pt idx="15">
                  <c:v>25318</c:v>
                </c:pt>
                <c:pt idx="16">
                  <c:v>25327.5</c:v>
                </c:pt>
                <c:pt idx="17">
                  <c:v>25327.5</c:v>
                </c:pt>
                <c:pt idx="18">
                  <c:v>25644.5</c:v>
                </c:pt>
                <c:pt idx="19">
                  <c:v>26236</c:v>
                </c:pt>
                <c:pt idx="20">
                  <c:v>26241.5</c:v>
                </c:pt>
                <c:pt idx="21">
                  <c:v>26249</c:v>
                </c:pt>
                <c:pt idx="22">
                  <c:v>26262</c:v>
                </c:pt>
                <c:pt idx="23">
                  <c:v>26275</c:v>
                </c:pt>
                <c:pt idx="24">
                  <c:v>26288</c:v>
                </c:pt>
                <c:pt idx="25">
                  <c:v>26289</c:v>
                </c:pt>
                <c:pt idx="26">
                  <c:v>26315</c:v>
                </c:pt>
                <c:pt idx="27">
                  <c:v>26375.5</c:v>
                </c:pt>
                <c:pt idx="28">
                  <c:v>27331.5</c:v>
                </c:pt>
                <c:pt idx="29">
                  <c:v>27333.5</c:v>
                </c:pt>
                <c:pt idx="30">
                  <c:v>27614</c:v>
                </c:pt>
                <c:pt idx="31">
                  <c:v>27680</c:v>
                </c:pt>
                <c:pt idx="32">
                  <c:v>27697</c:v>
                </c:pt>
                <c:pt idx="33">
                  <c:v>27705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1">
                  <c:v>-0.26545150000310969</c:v>
                </c:pt>
                <c:pt idx="4">
                  <c:v>0.24300950000906596</c:v>
                </c:pt>
                <c:pt idx="5">
                  <c:v>0.25187100000039209</c:v>
                </c:pt>
                <c:pt idx="6">
                  <c:v>0.2329265000007581</c:v>
                </c:pt>
                <c:pt idx="8">
                  <c:v>0.16563000000314787</c:v>
                </c:pt>
                <c:pt idx="9">
                  <c:v>-0.24272449999989476</c:v>
                </c:pt>
                <c:pt idx="10">
                  <c:v>0.14232900000934023</c:v>
                </c:pt>
                <c:pt idx="11">
                  <c:v>0.21099800000229152</c:v>
                </c:pt>
                <c:pt idx="12">
                  <c:v>-0.24548999999387888</c:v>
                </c:pt>
                <c:pt idx="13">
                  <c:v>0.21451649999653455</c:v>
                </c:pt>
                <c:pt idx="14">
                  <c:v>0.12196799999946961</c:v>
                </c:pt>
                <c:pt idx="15">
                  <c:v>0.25157800000306452</c:v>
                </c:pt>
                <c:pt idx="16">
                  <c:v>0.13945249999960652</c:v>
                </c:pt>
                <c:pt idx="18">
                  <c:v>-0.22954049999680137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AF-4439-B8E7-EE8B1CA4E39F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3.5000000000000001E-3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3.5000000000000001E-3</c:v>
                  </c:pt>
                  <c:pt idx="18">
                    <c:v>3.0000000000000001E-3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4.8999999999999998E-3</c:v>
                  </c:pt>
                  <c:pt idx="33">
                    <c:v>3.5000000000000001E-3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3.5000000000000001E-3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3.5000000000000001E-3</c:v>
                  </c:pt>
                  <c:pt idx="18">
                    <c:v>3.0000000000000001E-3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4.8999999999999998E-3</c:v>
                  </c:pt>
                  <c:pt idx="3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22303.5</c:v>
                </c:pt>
                <c:pt idx="2">
                  <c:v>23599.5</c:v>
                </c:pt>
                <c:pt idx="3">
                  <c:v>23609.5</c:v>
                </c:pt>
                <c:pt idx="4">
                  <c:v>23894.5</c:v>
                </c:pt>
                <c:pt idx="5">
                  <c:v>23901</c:v>
                </c:pt>
                <c:pt idx="6">
                  <c:v>23921.5</c:v>
                </c:pt>
                <c:pt idx="7">
                  <c:v>23930</c:v>
                </c:pt>
                <c:pt idx="8">
                  <c:v>23930</c:v>
                </c:pt>
                <c:pt idx="9">
                  <c:v>23940.5</c:v>
                </c:pt>
                <c:pt idx="10">
                  <c:v>24599</c:v>
                </c:pt>
                <c:pt idx="11">
                  <c:v>24938</c:v>
                </c:pt>
                <c:pt idx="12">
                  <c:v>25010</c:v>
                </c:pt>
                <c:pt idx="13">
                  <c:v>25011.5</c:v>
                </c:pt>
                <c:pt idx="14">
                  <c:v>25308</c:v>
                </c:pt>
                <c:pt idx="15">
                  <c:v>25318</c:v>
                </c:pt>
                <c:pt idx="16">
                  <c:v>25327.5</c:v>
                </c:pt>
                <c:pt idx="17">
                  <c:v>25327.5</c:v>
                </c:pt>
                <c:pt idx="18">
                  <c:v>25644.5</c:v>
                </c:pt>
                <c:pt idx="19">
                  <c:v>26236</c:v>
                </c:pt>
                <c:pt idx="20">
                  <c:v>26241.5</c:v>
                </c:pt>
                <c:pt idx="21">
                  <c:v>26249</c:v>
                </c:pt>
                <c:pt idx="22">
                  <c:v>26262</c:v>
                </c:pt>
                <c:pt idx="23">
                  <c:v>26275</c:v>
                </c:pt>
                <c:pt idx="24">
                  <c:v>26288</c:v>
                </c:pt>
                <c:pt idx="25">
                  <c:v>26289</c:v>
                </c:pt>
                <c:pt idx="26">
                  <c:v>26315</c:v>
                </c:pt>
                <c:pt idx="27">
                  <c:v>26375.5</c:v>
                </c:pt>
                <c:pt idx="28">
                  <c:v>27331.5</c:v>
                </c:pt>
                <c:pt idx="29">
                  <c:v>27333.5</c:v>
                </c:pt>
                <c:pt idx="30">
                  <c:v>27614</c:v>
                </c:pt>
                <c:pt idx="31">
                  <c:v>27680</c:v>
                </c:pt>
                <c:pt idx="32">
                  <c:v>27697</c:v>
                </c:pt>
                <c:pt idx="33">
                  <c:v>27705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2">
                  <c:v>-0.23898550000012619</c:v>
                </c:pt>
                <c:pt idx="3">
                  <c:v>0.15347449999535456</c:v>
                </c:pt>
                <c:pt idx="17">
                  <c:v>0.13945249999960652</c:v>
                </c:pt>
                <c:pt idx="19">
                  <c:v>0.15605600000708364</c:v>
                </c:pt>
                <c:pt idx="20">
                  <c:v>0.20344650000333786</c:v>
                </c:pt>
                <c:pt idx="21">
                  <c:v>0.17077900000003865</c:v>
                </c:pt>
                <c:pt idx="22">
                  <c:v>0.18440200000623008</c:v>
                </c:pt>
                <c:pt idx="23">
                  <c:v>0.19922500000393484</c:v>
                </c:pt>
                <c:pt idx="24">
                  <c:v>0.21274800000537653</c:v>
                </c:pt>
                <c:pt idx="25">
                  <c:v>0.17391899999347515</c:v>
                </c:pt>
                <c:pt idx="26">
                  <c:v>0.2023650000046473</c:v>
                </c:pt>
                <c:pt idx="27">
                  <c:v>0.18956049999542302</c:v>
                </c:pt>
                <c:pt idx="28">
                  <c:v>0.17993649999698391</c:v>
                </c:pt>
                <c:pt idx="29">
                  <c:v>0.10207850000006147</c:v>
                </c:pt>
                <c:pt idx="30">
                  <c:v>0.10899400000926107</c:v>
                </c:pt>
                <c:pt idx="31">
                  <c:v>0.14258000000700122</c:v>
                </c:pt>
                <c:pt idx="32">
                  <c:v>-0.25591300000087358</c:v>
                </c:pt>
                <c:pt idx="33">
                  <c:v>0.2094550000037998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AF-4439-B8E7-EE8B1CA4E39F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3.5000000000000001E-3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3.5000000000000001E-3</c:v>
                  </c:pt>
                  <c:pt idx="18">
                    <c:v>3.0000000000000001E-3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4.8999999999999998E-3</c:v>
                  </c:pt>
                  <c:pt idx="33">
                    <c:v>3.5000000000000001E-3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3.5000000000000001E-3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3.5000000000000001E-3</c:v>
                  </c:pt>
                  <c:pt idx="18">
                    <c:v>3.0000000000000001E-3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4.8999999999999998E-3</c:v>
                  </c:pt>
                  <c:pt idx="3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22303.5</c:v>
                </c:pt>
                <c:pt idx="2">
                  <c:v>23599.5</c:v>
                </c:pt>
                <c:pt idx="3">
                  <c:v>23609.5</c:v>
                </c:pt>
                <c:pt idx="4">
                  <c:v>23894.5</c:v>
                </c:pt>
                <c:pt idx="5">
                  <c:v>23901</c:v>
                </c:pt>
                <c:pt idx="6">
                  <c:v>23921.5</c:v>
                </c:pt>
                <c:pt idx="7">
                  <c:v>23930</c:v>
                </c:pt>
                <c:pt idx="8">
                  <c:v>23930</c:v>
                </c:pt>
                <c:pt idx="9">
                  <c:v>23940.5</c:v>
                </c:pt>
                <c:pt idx="10">
                  <c:v>24599</c:v>
                </c:pt>
                <c:pt idx="11">
                  <c:v>24938</c:v>
                </c:pt>
                <c:pt idx="12">
                  <c:v>25010</c:v>
                </c:pt>
                <c:pt idx="13">
                  <c:v>25011.5</c:v>
                </c:pt>
                <c:pt idx="14">
                  <c:v>25308</c:v>
                </c:pt>
                <c:pt idx="15">
                  <c:v>25318</c:v>
                </c:pt>
                <c:pt idx="16">
                  <c:v>25327.5</c:v>
                </c:pt>
                <c:pt idx="17">
                  <c:v>25327.5</c:v>
                </c:pt>
                <c:pt idx="18">
                  <c:v>25644.5</c:v>
                </c:pt>
                <c:pt idx="19">
                  <c:v>26236</c:v>
                </c:pt>
                <c:pt idx="20">
                  <c:v>26241.5</c:v>
                </c:pt>
                <c:pt idx="21">
                  <c:v>26249</c:v>
                </c:pt>
                <c:pt idx="22">
                  <c:v>26262</c:v>
                </c:pt>
                <c:pt idx="23">
                  <c:v>26275</c:v>
                </c:pt>
                <c:pt idx="24">
                  <c:v>26288</c:v>
                </c:pt>
                <c:pt idx="25">
                  <c:v>26289</c:v>
                </c:pt>
                <c:pt idx="26">
                  <c:v>26315</c:v>
                </c:pt>
                <c:pt idx="27">
                  <c:v>26375.5</c:v>
                </c:pt>
                <c:pt idx="28">
                  <c:v>27331.5</c:v>
                </c:pt>
                <c:pt idx="29">
                  <c:v>27333.5</c:v>
                </c:pt>
                <c:pt idx="30">
                  <c:v>27614</c:v>
                </c:pt>
                <c:pt idx="31">
                  <c:v>27680</c:v>
                </c:pt>
                <c:pt idx="32">
                  <c:v>27697</c:v>
                </c:pt>
                <c:pt idx="33">
                  <c:v>27705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AF-4439-B8E7-EE8B1CA4E39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3.5000000000000001E-3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3.5000000000000001E-3</c:v>
                  </c:pt>
                  <c:pt idx="18">
                    <c:v>3.0000000000000001E-3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4.8999999999999998E-3</c:v>
                  </c:pt>
                  <c:pt idx="33">
                    <c:v>3.5000000000000001E-3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3.5000000000000001E-3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3.5000000000000001E-3</c:v>
                  </c:pt>
                  <c:pt idx="18">
                    <c:v>3.0000000000000001E-3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4.8999999999999998E-3</c:v>
                  </c:pt>
                  <c:pt idx="3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22303.5</c:v>
                </c:pt>
                <c:pt idx="2">
                  <c:v>23599.5</c:v>
                </c:pt>
                <c:pt idx="3">
                  <c:v>23609.5</c:v>
                </c:pt>
                <c:pt idx="4">
                  <c:v>23894.5</c:v>
                </c:pt>
                <c:pt idx="5">
                  <c:v>23901</c:v>
                </c:pt>
                <c:pt idx="6">
                  <c:v>23921.5</c:v>
                </c:pt>
                <c:pt idx="7">
                  <c:v>23930</c:v>
                </c:pt>
                <c:pt idx="8">
                  <c:v>23930</c:v>
                </c:pt>
                <c:pt idx="9">
                  <c:v>23940.5</c:v>
                </c:pt>
                <c:pt idx="10">
                  <c:v>24599</c:v>
                </c:pt>
                <c:pt idx="11">
                  <c:v>24938</c:v>
                </c:pt>
                <c:pt idx="12">
                  <c:v>25010</c:v>
                </c:pt>
                <c:pt idx="13">
                  <c:v>25011.5</c:v>
                </c:pt>
                <c:pt idx="14">
                  <c:v>25308</c:v>
                </c:pt>
                <c:pt idx="15">
                  <c:v>25318</c:v>
                </c:pt>
                <c:pt idx="16">
                  <c:v>25327.5</c:v>
                </c:pt>
                <c:pt idx="17">
                  <c:v>25327.5</c:v>
                </c:pt>
                <c:pt idx="18">
                  <c:v>25644.5</c:v>
                </c:pt>
                <c:pt idx="19">
                  <c:v>26236</c:v>
                </c:pt>
                <c:pt idx="20">
                  <c:v>26241.5</c:v>
                </c:pt>
                <c:pt idx="21">
                  <c:v>26249</c:v>
                </c:pt>
                <c:pt idx="22">
                  <c:v>26262</c:v>
                </c:pt>
                <c:pt idx="23">
                  <c:v>26275</c:v>
                </c:pt>
                <c:pt idx="24">
                  <c:v>26288</c:v>
                </c:pt>
                <c:pt idx="25">
                  <c:v>26289</c:v>
                </c:pt>
                <c:pt idx="26">
                  <c:v>26315</c:v>
                </c:pt>
                <c:pt idx="27">
                  <c:v>26375.5</c:v>
                </c:pt>
                <c:pt idx="28">
                  <c:v>27331.5</c:v>
                </c:pt>
                <c:pt idx="29">
                  <c:v>27333.5</c:v>
                </c:pt>
                <c:pt idx="30">
                  <c:v>27614</c:v>
                </c:pt>
                <c:pt idx="31">
                  <c:v>27680</c:v>
                </c:pt>
                <c:pt idx="32">
                  <c:v>27697</c:v>
                </c:pt>
                <c:pt idx="33">
                  <c:v>27705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AF-4439-B8E7-EE8B1CA4E39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3.5000000000000001E-3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3.5000000000000001E-3</c:v>
                  </c:pt>
                  <c:pt idx="18">
                    <c:v>3.0000000000000001E-3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4.8999999999999998E-3</c:v>
                  </c:pt>
                  <c:pt idx="33">
                    <c:v>3.5000000000000001E-3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3.5000000000000001E-3</c:v>
                  </c:pt>
                  <c:pt idx="15">
                    <c:v>4.0000000000000001E-3</c:v>
                  </c:pt>
                  <c:pt idx="16">
                    <c:v>1E-4</c:v>
                  </c:pt>
                  <c:pt idx="17">
                    <c:v>3.5000000000000001E-3</c:v>
                  </c:pt>
                  <c:pt idx="18">
                    <c:v>3.0000000000000001E-3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4.8999999999999998E-3</c:v>
                  </c:pt>
                  <c:pt idx="3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22303.5</c:v>
                </c:pt>
                <c:pt idx="2">
                  <c:v>23599.5</c:v>
                </c:pt>
                <c:pt idx="3">
                  <c:v>23609.5</c:v>
                </c:pt>
                <c:pt idx="4">
                  <c:v>23894.5</c:v>
                </c:pt>
                <c:pt idx="5">
                  <c:v>23901</c:v>
                </c:pt>
                <c:pt idx="6">
                  <c:v>23921.5</c:v>
                </c:pt>
                <c:pt idx="7">
                  <c:v>23930</c:v>
                </c:pt>
                <c:pt idx="8">
                  <c:v>23930</c:v>
                </c:pt>
                <c:pt idx="9">
                  <c:v>23940.5</c:v>
                </c:pt>
                <c:pt idx="10">
                  <c:v>24599</c:v>
                </c:pt>
                <c:pt idx="11">
                  <c:v>24938</c:v>
                </c:pt>
                <c:pt idx="12">
                  <c:v>25010</c:v>
                </c:pt>
                <c:pt idx="13">
                  <c:v>25011.5</c:v>
                </c:pt>
                <c:pt idx="14">
                  <c:v>25308</c:v>
                </c:pt>
                <c:pt idx="15">
                  <c:v>25318</c:v>
                </c:pt>
                <c:pt idx="16">
                  <c:v>25327.5</c:v>
                </c:pt>
                <c:pt idx="17">
                  <c:v>25327.5</c:v>
                </c:pt>
                <c:pt idx="18">
                  <c:v>25644.5</c:v>
                </c:pt>
                <c:pt idx="19">
                  <c:v>26236</c:v>
                </c:pt>
                <c:pt idx="20">
                  <c:v>26241.5</c:v>
                </c:pt>
                <c:pt idx="21">
                  <c:v>26249</c:v>
                </c:pt>
                <c:pt idx="22">
                  <c:v>26262</c:v>
                </c:pt>
                <c:pt idx="23">
                  <c:v>26275</c:v>
                </c:pt>
                <c:pt idx="24">
                  <c:v>26288</c:v>
                </c:pt>
                <c:pt idx="25">
                  <c:v>26289</c:v>
                </c:pt>
                <c:pt idx="26">
                  <c:v>26315</c:v>
                </c:pt>
                <c:pt idx="27">
                  <c:v>26375.5</c:v>
                </c:pt>
                <c:pt idx="28">
                  <c:v>27331.5</c:v>
                </c:pt>
                <c:pt idx="29">
                  <c:v>27333.5</c:v>
                </c:pt>
                <c:pt idx="30">
                  <c:v>27614</c:v>
                </c:pt>
                <c:pt idx="31">
                  <c:v>27680</c:v>
                </c:pt>
                <c:pt idx="32">
                  <c:v>27697</c:v>
                </c:pt>
                <c:pt idx="33">
                  <c:v>27705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AF-4439-B8E7-EE8B1CA4E39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22303.5</c:v>
                </c:pt>
                <c:pt idx="2">
                  <c:v>23599.5</c:v>
                </c:pt>
                <c:pt idx="3">
                  <c:v>23609.5</c:v>
                </c:pt>
                <c:pt idx="4">
                  <c:v>23894.5</c:v>
                </c:pt>
                <c:pt idx="5">
                  <c:v>23901</c:v>
                </c:pt>
                <c:pt idx="6">
                  <c:v>23921.5</c:v>
                </c:pt>
                <c:pt idx="7">
                  <c:v>23930</c:v>
                </c:pt>
                <c:pt idx="8">
                  <c:v>23930</c:v>
                </c:pt>
                <c:pt idx="9">
                  <c:v>23940.5</c:v>
                </c:pt>
                <c:pt idx="10">
                  <c:v>24599</c:v>
                </c:pt>
                <c:pt idx="11">
                  <c:v>24938</c:v>
                </c:pt>
                <c:pt idx="12">
                  <c:v>25010</c:v>
                </c:pt>
                <c:pt idx="13">
                  <c:v>25011.5</c:v>
                </c:pt>
                <c:pt idx="14">
                  <c:v>25308</c:v>
                </c:pt>
                <c:pt idx="15">
                  <c:v>25318</c:v>
                </c:pt>
                <c:pt idx="16">
                  <c:v>25327.5</c:v>
                </c:pt>
                <c:pt idx="17">
                  <c:v>25327.5</c:v>
                </c:pt>
                <c:pt idx="18">
                  <c:v>25644.5</c:v>
                </c:pt>
                <c:pt idx="19">
                  <c:v>26236</c:v>
                </c:pt>
                <c:pt idx="20">
                  <c:v>26241.5</c:v>
                </c:pt>
                <c:pt idx="21">
                  <c:v>26249</c:v>
                </c:pt>
                <c:pt idx="22">
                  <c:v>26262</c:v>
                </c:pt>
                <c:pt idx="23">
                  <c:v>26275</c:v>
                </c:pt>
                <c:pt idx="24">
                  <c:v>26288</c:v>
                </c:pt>
                <c:pt idx="25">
                  <c:v>26289</c:v>
                </c:pt>
                <c:pt idx="26">
                  <c:v>26315</c:v>
                </c:pt>
                <c:pt idx="27">
                  <c:v>26375.5</c:v>
                </c:pt>
                <c:pt idx="28">
                  <c:v>27331.5</c:v>
                </c:pt>
                <c:pt idx="29">
                  <c:v>27333.5</c:v>
                </c:pt>
                <c:pt idx="30">
                  <c:v>27614</c:v>
                </c:pt>
                <c:pt idx="31">
                  <c:v>27680</c:v>
                </c:pt>
                <c:pt idx="32">
                  <c:v>27697</c:v>
                </c:pt>
                <c:pt idx="33">
                  <c:v>27705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-5.2504138322206559E-2</c:v>
                </c:pt>
                <c:pt idx="1">
                  <c:v>8.2747235028986191E-2</c:v>
                </c:pt>
                <c:pt idx="2">
                  <c:v>9.0606350408327804E-2</c:v>
                </c:pt>
                <c:pt idx="3">
                  <c:v>9.0666991730699267E-2</c:v>
                </c:pt>
                <c:pt idx="4">
                  <c:v>9.2395269418285977E-2</c:v>
                </c:pt>
                <c:pt idx="5">
                  <c:v>9.243468627782743E-2</c:v>
                </c:pt>
                <c:pt idx="6">
                  <c:v>9.2559000988688925E-2</c:v>
                </c:pt>
                <c:pt idx="7">
                  <c:v>9.2610546112704681E-2</c:v>
                </c:pt>
                <c:pt idx="8">
                  <c:v>9.2610546112704681E-2</c:v>
                </c:pt>
                <c:pt idx="9">
                  <c:v>9.2674219501194713E-2</c:v>
                </c:pt>
                <c:pt idx="10">
                  <c:v>9.6667450579355566E-2</c:v>
                </c:pt>
                <c:pt idx="11">
                  <c:v>9.8723191407748143E-2</c:v>
                </c:pt>
                <c:pt idx="12">
                  <c:v>9.9159808928822687E-2</c:v>
                </c:pt>
                <c:pt idx="13">
                  <c:v>9.9168905127178422E-2</c:v>
                </c:pt>
                <c:pt idx="14">
                  <c:v>0.1009669203354923</c:v>
                </c:pt>
                <c:pt idx="15">
                  <c:v>0.10102756165786377</c:v>
                </c:pt>
                <c:pt idx="16">
                  <c:v>0.10108517091411663</c:v>
                </c:pt>
                <c:pt idx="17">
                  <c:v>0.10108517091411663</c:v>
                </c:pt>
                <c:pt idx="18">
                  <c:v>0.10300750083329203</c:v>
                </c:pt>
                <c:pt idx="19">
                  <c:v>0.10659443505156406</c:v>
                </c:pt>
                <c:pt idx="20">
                  <c:v>0.10662778777886837</c:v>
                </c:pt>
                <c:pt idx="21">
                  <c:v>0.10667326877064696</c:v>
                </c:pt>
                <c:pt idx="22">
                  <c:v>0.10675210248972987</c:v>
                </c:pt>
                <c:pt idx="23">
                  <c:v>0.10683093620881277</c:v>
                </c:pt>
                <c:pt idx="24">
                  <c:v>0.10690976992789568</c:v>
                </c:pt>
                <c:pt idx="25">
                  <c:v>0.10691583406013282</c:v>
                </c:pt>
                <c:pt idx="26">
                  <c:v>0.10707350149829863</c:v>
                </c:pt>
                <c:pt idx="27">
                  <c:v>0.10744038149864597</c:v>
                </c:pt>
                <c:pt idx="28">
                  <c:v>0.11323769191735784</c:v>
                </c:pt>
                <c:pt idx="29">
                  <c:v>0.11324982018183215</c:v>
                </c:pt>
                <c:pt idx="30">
                  <c:v>0.11495080927435168</c:v>
                </c:pt>
                <c:pt idx="31">
                  <c:v>0.11535104200200334</c:v>
                </c:pt>
                <c:pt idx="32">
                  <c:v>0.11545413225003483</c:v>
                </c:pt>
                <c:pt idx="33">
                  <c:v>0.11550264530793199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AF-4439-B8E7-EE8B1CA4E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570656"/>
        <c:axId val="1"/>
      </c:scatterChart>
      <c:valAx>
        <c:axId val="272570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2570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32488689317711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0</xdr:row>
      <xdr:rowOff>0</xdr:rowOff>
    </xdr:from>
    <xdr:to>
      <xdr:col>17</xdr:col>
      <xdr:colOff>247650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2CF6AB6-B908-A1EC-441E-5ACCED7AD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0</xdr:row>
      <xdr:rowOff>76200</xdr:rowOff>
    </xdr:from>
    <xdr:to>
      <xdr:col>17</xdr:col>
      <xdr:colOff>600075</xdr:colOff>
      <xdr:row>18</xdr:row>
      <xdr:rowOff>114300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54EE82F4-F3F5-7B36-C2F9-B9614AAB4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5" TargetMode="External"/><Relationship Id="rId13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bav-astro.de/sfs/BAVM_link.php?BAVMnr=212" TargetMode="External"/><Relationship Id="rId7" Type="http://schemas.openxmlformats.org/officeDocument/2006/relationships/hyperlink" Target="http://www.bav-astro.de/sfs/BAVM_link.php?BAVMnr=215" TargetMode="External"/><Relationship Id="rId12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var.astro.cz/oejv/issues/oejv137.pdf" TargetMode="External"/><Relationship Id="rId16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bav-astro.de/sfs/BAVM_link.php?BAVMnr=178" TargetMode="External"/><Relationship Id="rId6" Type="http://schemas.openxmlformats.org/officeDocument/2006/relationships/hyperlink" Target="http://www.bav-astro.de/sfs/BAVM_link.php?BAVMnr=215" TargetMode="External"/><Relationship Id="rId11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215" TargetMode="External"/><Relationship Id="rId15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www.bav-astro.de/sfs/BAVM_link.php?BAVMnr=215" TargetMode="External"/><Relationship Id="rId9" Type="http://schemas.openxmlformats.org/officeDocument/2006/relationships/hyperlink" Target="http://www.bav-astro.de/sfs/BAVM_link.php?BAVMnr=228" TargetMode="External"/><Relationship Id="rId14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3" sqref="F1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x14ac:dyDescent="0.2">
      <c r="A2" t="s">
        <v>28</v>
      </c>
      <c r="B2" s="11" t="s">
        <v>33</v>
      </c>
      <c r="C2" s="3"/>
      <c r="D2" s="3"/>
    </row>
    <row r="3" spans="1:6" ht="13.5" thickBot="1" x14ac:dyDescent="0.25"/>
    <row r="4" spans="1:6" ht="14.25" thickTop="1" thickBot="1" x14ac:dyDescent="0.25">
      <c r="A4" s="5" t="s">
        <v>4</v>
      </c>
      <c r="C4" s="8">
        <v>29733.582999999999</v>
      </c>
      <c r="D4" s="9">
        <v>1.073329</v>
      </c>
    </row>
    <row r="5" spans="1:6" ht="13.5" thickTop="1" x14ac:dyDescent="0.2">
      <c r="A5" s="15" t="s">
        <v>36</v>
      </c>
      <c r="B5" s="11"/>
      <c r="C5" s="16">
        <v>-9.5</v>
      </c>
      <c r="D5" s="11" t="s">
        <v>37</v>
      </c>
    </row>
    <row r="6" spans="1:6" x14ac:dyDescent="0.2">
      <c r="A6" s="5" t="s">
        <v>5</v>
      </c>
    </row>
    <row r="7" spans="1:6" x14ac:dyDescent="0.2">
      <c r="A7" t="s">
        <v>6</v>
      </c>
      <c r="C7">
        <f>+C4</f>
        <v>29733.582999999999</v>
      </c>
    </row>
    <row r="8" spans="1:6" x14ac:dyDescent="0.2">
      <c r="A8" t="s">
        <v>7</v>
      </c>
      <c r="C8">
        <v>0.51732100000000003</v>
      </c>
      <c r="D8" s="61" t="s">
        <v>2</v>
      </c>
    </row>
    <row r="9" spans="1:6" x14ac:dyDescent="0.2">
      <c r="A9" s="29" t="s">
        <v>41</v>
      </c>
      <c r="B9" s="30">
        <v>22</v>
      </c>
      <c r="C9" s="18" t="str">
        <f>"F"&amp;B9</f>
        <v>F22</v>
      </c>
      <c r="D9" s="19" t="str">
        <f>"G"&amp;B9</f>
        <v>G22</v>
      </c>
    </row>
    <row r="10" spans="1:6" ht="13.5" thickBot="1" x14ac:dyDescent="0.25">
      <c r="A10" s="11"/>
      <c r="B10" s="11"/>
      <c r="C10" s="4" t="s">
        <v>24</v>
      </c>
      <c r="D10" s="4" t="s">
        <v>25</v>
      </c>
      <c r="E10" s="11"/>
    </row>
    <row r="11" spans="1:6" x14ac:dyDescent="0.2">
      <c r="A11" s="11" t="s">
        <v>20</v>
      </c>
      <c r="B11" s="11"/>
      <c r="C11" s="17">
        <f ca="1">INTERCEPT(INDIRECT($D$9):G992,INDIRECT($C$9):F992)</f>
        <v>0.27834241165120716</v>
      </c>
      <c r="D11" s="3"/>
      <c r="E11" s="11"/>
    </row>
    <row r="12" spans="1:6" x14ac:dyDescent="0.2">
      <c r="A12" s="11" t="s">
        <v>21</v>
      </c>
      <c r="B12" s="11"/>
      <c r="C12" s="17">
        <f ca="1">SLOPE(INDIRECT($D$9):G992,INDIRECT($C$9):F992)</f>
        <v>-6.8279374191921094E-6</v>
      </c>
      <c r="D12" s="3"/>
      <c r="E12" s="11"/>
    </row>
    <row r="13" spans="1:6" x14ac:dyDescent="0.2">
      <c r="A13" s="11" t="s">
        <v>23</v>
      </c>
      <c r="B13" s="11"/>
      <c r="C13" s="3" t="s">
        <v>18</v>
      </c>
    </row>
    <row r="14" spans="1:6" x14ac:dyDescent="0.2">
      <c r="A14" s="11"/>
      <c r="B14" s="11"/>
      <c r="C14" s="11"/>
    </row>
    <row r="15" spans="1:6" x14ac:dyDescent="0.2">
      <c r="A15" s="20" t="s">
        <v>22</v>
      </c>
      <c r="B15" s="11"/>
      <c r="C15" s="21">
        <f ca="1">(C7+C11)+(C8+C12)*INT(MAX(F21:F3533))</f>
        <v>59470.114580912916</v>
      </c>
      <c r="E15" s="22" t="s">
        <v>42</v>
      </c>
      <c r="F15" s="16">
        <v>1</v>
      </c>
    </row>
    <row r="16" spans="1:6" x14ac:dyDescent="0.2">
      <c r="A16" s="24" t="s">
        <v>8</v>
      </c>
      <c r="B16" s="11"/>
      <c r="C16" s="25">
        <f ca="1">+C8+C12</f>
        <v>0.51731417206258079</v>
      </c>
      <c r="E16" s="22" t="s">
        <v>38</v>
      </c>
      <c r="F16" s="23">
        <f ca="1">NOW()+15018.5+$C$5/24</f>
        <v>59963.687176504631</v>
      </c>
    </row>
    <row r="17" spans="1:21" ht="13.5" thickBot="1" x14ac:dyDescent="0.25">
      <c r="A17" s="22" t="s">
        <v>32</v>
      </c>
      <c r="B17" s="11"/>
      <c r="C17" s="11">
        <f>COUNT(C21:C2191)</f>
        <v>34</v>
      </c>
      <c r="E17" s="22" t="s">
        <v>43</v>
      </c>
      <c r="F17" s="23">
        <f ca="1">ROUND(2*(F16-$C$7)/$C$8,0)/2+F15</f>
        <v>58437</v>
      </c>
    </row>
    <row r="18" spans="1:21" ht="14.25" thickTop="1" thickBot="1" x14ac:dyDescent="0.25">
      <c r="A18" s="24" t="s">
        <v>9</v>
      </c>
      <c r="B18" s="11"/>
      <c r="C18" s="27">
        <f ca="1">+C15</f>
        <v>59470.114580912916</v>
      </c>
      <c r="D18" s="28">
        <f ca="1">+C16</f>
        <v>0.51731417206258079</v>
      </c>
      <c r="E18" s="22" t="s">
        <v>39</v>
      </c>
      <c r="F18" s="19">
        <f ca="1">ROUND(2*(F16-$C$15)/$C$16,0)/2+F15</f>
        <v>955</v>
      </c>
    </row>
    <row r="19" spans="1:21" ht="13.5" thickTop="1" x14ac:dyDescent="0.2">
      <c r="E19" s="22" t="s">
        <v>40</v>
      </c>
      <c r="F19" s="26">
        <f ca="1">+$C$15+$C$16*F18-15018.5-$C$5/24</f>
        <v>44946.045448566016</v>
      </c>
      <c r="S19">
        <f ca="1">SUM(S21:S46)</f>
        <v>7.7572476826032313E-2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17</v>
      </c>
      <c r="E20" s="4" t="s">
        <v>13</v>
      </c>
      <c r="F20" s="4" t="s">
        <v>14</v>
      </c>
      <c r="G20" s="4" t="s">
        <v>15</v>
      </c>
      <c r="H20" s="7" t="s">
        <v>59</v>
      </c>
      <c r="I20" s="7" t="s">
        <v>62</v>
      </c>
      <c r="J20" s="7" t="s">
        <v>56</v>
      </c>
      <c r="K20" s="7" t="s">
        <v>54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62" t="s">
        <v>3</v>
      </c>
    </row>
    <row r="21" spans="1:21" x14ac:dyDescent="0.2">
      <c r="A21" t="s">
        <v>16</v>
      </c>
      <c r="C21" s="10">
        <v>29733.582999999999</v>
      </c>
      <c r="D21" s="10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0.27834241165120716</v>
      </c>
      <c r="Q21" s="2">
        <f>+C21-15018.5</f>
        <v>14715.082999999999</v>
      </c>
      <c r="S21">
        <f ca="1">(O21-G21)^2</f>
        <v>7.7474498123810062E-2</v>
      </c>
    </row>
    <row r="22" spans="1:21" x14ac:dyDescent="0.2">
      <c r="A22" s="12" t="s">
        <v>34</v>
      </c>
      <c r="B22" s="13"/>
      <c r="C22" s="14">
        <v>53672.310899999997</v>
      </c>
      <c r="D22" s="14">
        <v>1.6000000000000001E-3</v>
      </c>
      <c r="E22">
        <f>+(C22-C$7)/C$8</f>
        <v>46274.417431343398</v>
      </c>
      <c r="F22">
        <f>ROUND(2*E22,0)/2</f>
        <v>46274.5</v>
      </c>
      <c r="G22">
        <f>+C22-(C$7+F22*C$8)</f>
        <v>-4.2714499999419786E-2</v>
      </c>
      <c r="J22">
        <f>+G22</f>
        <v>-4.2714499999419786E-2</v>
      </c>
      <c r="O22">
        <f ca="1">+C$11+C$12*$F22</f>
        <v>-3.7616978453198113E-2</v>
      </c>
      <c r="Q22" s="2">
        <f>+C22-15018.5</f>
        <v>38653.810899999997</v>
      </c>
      <c r="S22">
        <f ca="1">(O22-G22)^2</f>
        <v>2.5984725914194194E-5</v>
      </c>
    </row>
    <row r="23" spans="1:21" x14ac:dyDescent="0.2">
      <c r="A23" s="12" t="s">
        <v>44</v>
      </c>
      <c r="B23" s="31" t="s">
        <v>45</v>
      </c>
      <c r="C23" s="14">
        <v>55063.371749999998</v>
      </c>
      <c r="D23" s="14">
        <v>1E-4</v>
      </c>
      <c r="E23">
        <f>+(C23-C$7)/C$8</f>
        <v>48963.387819168369</v>
      </c>
      <c r="F23">
        <f>ROUND(2*E23,0)/2</f>
        <v>48963.5</v>
      </c>
      <c r="G23">
        <f>+C23-(C$7+F23*C$8)</f>
        <v>-5.8033500004967209E-2</v>
      </c>
      <c r="K23">
        <f>+G23</f>
        <v>-5.8033500004967209E-2</v>
      </c>
      <c r="O23">
        <f ca="1">+C$11+C$12*$F23</f>
        <v>-5.5977302173405685E-2</v>
      </c>
      <c r="Q23" s="2">
        <f>+C23-15018.5</f>
        <v>40044.871749999998</v>
      </c>
      <c r="S23">
        <f ca="1">(O23-G23)^2</f>
        <v>4.2279495225183118E-6</v>
      </c>
    </row>
    <row r="24" spans="1:21" x14ac:dyDescent="0.2">
      <c r="A24" s="52" t="s">
        <v>80</v>
      </c>
      <c r="B24" s="54" t="s">
        <v>143</v>
      </c>
      <c r="C24" s="53">
        <v>55074.497499999998</v>
      </c>
      <c r="D24" s="10"/>
      <c r="E24">
        <f>+(C24-C$7)/C$8</f>
        <v>48984.894291938654</v>
      </c>
      <c r="F24">
        <f>ROUND(2*E24,0)/2</f>
        <v>48985</v>
      </c>
      <c r="G24">
        <f>+C24-(C$7+F24*C$8)</f>
        <v>-5.4685000002791639E-2</v>
      </c>
      <c r="K24">
        <f>+G24</f>
        <v>-5.4685000002791639E-2</v>
      </c>
      <c r="O24">
        <f ca="1">+C$11+C$12*$F24</f>
        <v>-5.6124102827918299E-2</v>
      </c>
      <c r="Q24" s="2">
        <f>+C24-15018.5</f>
        <v>40055.997499999998</v>
      </c>
      <c r="S24">
        <f ca="1">(O24-G24)^2</f>
        <v>2.0710169412875314E-6</v>
      </c>
    </row>
    <row r="25" spans="1:21" x14ac:dyDescent="0.2">
      <c r="A25" s="37" t="s">
        <v>49</v>
      </c>
      <c r="B25" s="37"/>
      <c r="C25" s="33">
        <v>55380.485800000002</v>
      </c>
      <c r="D25" s="33">
        <v>2.9999999999999997E-4</v>
      </c>
      <c r="E25">
        <f>+(C25-C$7)/C$8</f>
        <v>49576.380622476187</v>
      </c>
      <c r="F25">
        <f>ROUND(2*E25,0)/2</f>
        <v>49576.5</v>
      </c>
      <c r="G25">
        <f>+C25-(C$7+F25*C$8)</f>
        <v>-6.1756499999319203E-2</v>
      </c>
      <c r="J25">
        <f>+G25</f>
        <v>-6.1756499999319203E-2</v>
      </c>
      <c r="O25">
        <f ca="1">+C$11+C$12*$F25</f>
        <v>-6.0162827811370445E-2</v>
      </c>
      <c r="Q25" s="2">
        <f>+C25-15018.5</f>
        <v>40361.985800000002</v>
      </c>
      <c r="S25">
        <f ca="1">(O25-G25)^2</f>
        <v>2.5397910426413815E-6</v>
      </c>
    </row>
    <row r="26" spans="1:21" x14ac:dyDescent="0.2">
      <c r="A26" s="37" t="s">
        <v>49</v>
      </c>
      <c r="B26" s="37"/>
      <c r="C26" s="33">
        <v>55387.471299999997</v>
      </c>
      <c r="D26" s="33">
        <v>8.0000000000000004E-4</v>
      </c>
      <c r="E26">
        <f>+(C26-C$7)/C$8</f>
        <v>49589.883843880292</v>
      </c>
      <c r="F26">
        <f>ROUND(2*E26,0)/2</f>
        <v>49590</v>
      </c>
      <c r="G26">
        <f>+C26-(C$7+F26*C$8)</f>
        <v>-6.0090000006312039E-2</v>
      </c>
      <c r="J26">
        <f>+G26</f>
        <v>-6.0090000006312039E-2</v>
      </c>
      <c r="O26">
        <f ca="1">+C$11+C$12*$F26</f>
        <v>-6.0255004966529524E-2</v>
      </c>
      <c r="Q26" s="2">
        <f>+C26-15018.5</f>
        <v>40368.971299999997</v>
      </c>
      <c r="S26">
        <f ca="1">(O26-G26)^2</f>
        <v>2.7226636896373883E-8</v>
      </c>
    </row>
    <row r="27" spans="1:21" x14ac:dyDescent="0.2">
      <c r="A27" s="37" t="s">
        <v>49</v>
      </c>
      <c r="B27" s="37"/>
      <c r="C27" s="33">
        <v>55409.455600000001</v>
      </c>
      <c r="D27" s="33">
        <v>1E-4</v>
      </c>
      <c r="E27">
        <f>+(C27-C$7)/C$8</f>
        <v>49632.380282261889</v>
      </c>
      <c r="F27">
        <f>ROUND(2*E27,0)/2</f>
        <v>49632.5</v>
      </c>
      <c r="G27">
        <f>+C27-(C$7+F27*C$8)</f>
        <v>-6.1932500000693835E-2</v>
      </c>
      <c r="J27">
        <f>+G27</f>
        <v>-6.1932500000693835E-2</v>
      </c>
      <c r="O27">
        <f ca="1">+C$11+C$12*$F27</f>
        <v>-6.0545192306845241E-2</v>
      </c>
      <c r="Q27" s="2">
        <f>+C27-15018.5</f>
        <v>40390.955600000001</v>
      </c>
      <c r="S27">
        <f ca="1">(O27-G27)^2</f>
        <v>1.9246226374115043E-6</v>
      </c>
    </row>
    <row r="28" spans="1:21" x14ac:dyDescent="0.2">
      <c r="A28" s="52" t="s">
        <v>86</v>
      </c>
      <c r="B28" s="54" t="s">
        <v>45</v>
      </c>
      <c r="C28" s="53">
        <v>55418.373200000002</v>
      </c>
      <c r="D28" s="10"/>
      <c r="E28">
        <f>+(C28-C$7)/C$8</f>
        <v>49649.618322086288</v>
      </c>
      <c r="F28">
        <f>ROUND(2*E28,0)/2</f>
        <v>49649.5</v>
      </c>
      <c r="O28">
        <f ca="1">+C$11+C$12*$F28</f>
        <v>-6.0661267242971495E-2</v>
      </c>
      <c r="Q28" s="2">
        <f>+C28-15018.5</f>
        <v>40399.873200000002</v>
      </c>
      <c r="U28">
        <f>+C28-(C$7+F28*C$8)</f>
        <v>6.1210500003653578E-2</v>
      </c>
    </row>
    <row r="29" spans="1:21" x14ac:dyDescent="0.2">
      <c r="A29" s="37" t="s">
        <v>49</v>
      </c>
      <c r="B29" s="37"/>
      <c r="C29" s="33">
        <v>55418.511599999998</v>
      </c>
      <c r="D29" s="33">
        <v>6.9999999999999999E-4</v>
      </c>
      <c r="E29">
        <f>+(C29-C$7)/C$8</f>
        <v>49649.885854237502</v>
      </c>
      <c r="F29">
        <f>ROUND(2*E29,0)/2</f>
        <v>49650</v>
      </c>
      <c r="G29">
        <f>+C29-(C$7+F29*C$8)</f>
        <v>-5.9050000003480818E-2</v>
      </c>
      <c r="J29">
        <f>+G29</f>
        <v>-5.9050000003480818E-2</v>
      </c>
      <c r="O29">
        <f ca="1">+C$11+C$12*$F29</f>
        <v>-6.066468121168106E-2</v>
      </c>
      <c r="Q29" s="2">
        <f>+C29-15018.5</f>
        <v>40400.011599999998</v>
      </c>
      <c r="S29">
        <f ca="1">(O29-G29)^2</f>
        <v>2.6071954041149916E-6</v>
      </c>
    </row>
    <row r="30" spans="1:21" x14ac:dyDescent="0.2">
      <c r="A30" s="37" t="s">
        <v>49</v>
      </c>
      <c r="B30" s="37"/>
      <c r="C30" s="33">
        <v>55429.373200000002</v>
      </c>
      <c r="D30" s="33">
        <v>1.8E-3</v>
      </c>
      <c r="E30">
        <f>+(C30-C$7)/C$8</f>
        <v>49670.881715607917</v>
      </c>
      <c r="F30">
        <f>ROUND(2*E30,0)/2</f>
        <v>49671</v>
      </c>
      <c r="G30">
        <f>+C30-(C$7+F30*C$8)</f>
        <v>-6.119100000069011E-2</v>
      </c>
      <c r="J30">
        <f>+G30</f>
        <v>-6.119100000069011E-2</v>
      </c>
      <c r="O30">
        <f ca="1">+C$11+C$12*$F30</f>
        <v>-6.0808067897484108E-2</v>
      </c>
      <c r="Q30" s="2">
        <f>+C30-15018.5</f>
        <v>40410.873200000002</v>
      </c>
      <c r="S30">
        <f ca="1">(O30-G30)^2</f>
        <v>1.46636995665772E-7</v>
      </c>
    </row>
    <row r="31" spans="1:21" x14ac:dyDescent="0.2">
      <c r="A31" s="12" t="s">
        <v>46</v>
      </c>
      <c r="B31" s="31" t="s">
        <v>45</v>
      </c>
      <c r="C31" s="14">
        <v>56136.545400000003</v>
      </c>
      <c r="D31" s="14">
        <v>2.9999999999999997E-4</v>
      </c>
      <c r="E31">
        <f>+(C31-C$7)/C$8</f>
        <v>51037.870877076326</v>
      </c>
      <c r="F31">
        <f>ROUND(2*E31,0)/2</f>
        <v>51038</v>
      </c>
      <c r="G31">
        <f>+C31-(C$7+F31*C$8)</f>
        <v>-6.6797999999835156E-2</v>
      </c>
      <c r="J31">
        <f>+G31</f>
        <v>-6.6797999999835156E-2</v>
      </c>
      <c r="O31">
        <f ca="1">+C$11+C$12*$F31</f>
        <v>-7.0141858349519748E-2</v>
      </c>
      <c r="Q31" s="2">
        <f>+C31-15018.5</f>
        <v>41118.045400000003</v>
      </c>
      <c r="S31">
        <f ca="1">(O31-G31)^2</f>
        <v>1.1181388662755363E-5</v>
      </c>
    </row>
    <row r="32" spans="1:21" x14ac:dyDescent="0.2">
      <c r="A32" s="14" t="s">
        <v>47</v>
      </c>
      <c r="B32" s="31" t="s">
        <v>45</v>
      </c>
      <c r="C32" s="14">
        <v>56500.472600000001</v>
      </c>
      <c r="D32" s="14">
        <v>5.0000000000000001E-4</v>
      </c>
      <c r="E32">
        <f>+(C32-C$7)/C$8</f>
        <v>51741.355174060205</v>
      </c>
      <c r="F32">
        <f>ROUND(2*E32,0)/2</f>
        <v>51741.5</v>
      </c>
      <c r="G32">
        <f>+C32-(C$7+F32*C$8)</f>
        <v>-7.4921500003256369E-2</v>
      </c>
      <c r="J32">
        <f>+G32</f>
        <v>-7.4921500003256369E-2</v>
      </c>
      <c r="O32">
        <f ca="1">+C$11+C$12*$F32</f>
        <v>-7.4945312323921376E-2</v>
      </c>
      <c r="Q32" s="2">
        <f>+C32-15018.5</f>
        <v>41481.972600000001</v>
      </c>
      <c r="S32">
        <f ca="1">(O32-G32)^2</f>
        <v>5.6702661545309518E-10</v>
      </c>
    </row>
    <row r="33" spans="1:19" x14ac:dyDescent="0.2">
      <c r="A33" s="35" t="s">
        <v>48</v>
      </c>
      <c r="B33" s="13" t="s">
        <v>45</v>
      </c>
      <c r="C33" s="14">
        <v>56577.2958</v>
      </c>
      <c r="D33" s="36">
        <v>1.5E-3</v>
      </c>
      <c r="E33">
        <f>+(C33-C$7)/C$8</f>
        <v>51889.857167986607</v>
      </c>
      <c r="F33">
        <f>ROUND(2*E33,0)/2</f>
        <v>51890</v>
      </c>
      <c r="G33">
        <f>+C33-(C$7+F33*C$8)</f>
        <v>-7.3889999999664724E-2</v>
      </c>
      <c r="J33">
        <f>+G33</f>
        <v>-7.3889999999664724E-2</v>
      </c>
      <c r="O33">
        <f ca="1">+C$11+C$12*$F33</f>
        <v>-7.595926103067141E-2</v>
      </c>
      <c r="Q33" s="2">
        <f>+C33-15018.5</f>
        <v>41558.7958</v>
      </c>
      <c r="S33">
        <f ca="1">(O33-G33)^2</f>
        <v>4.2818412144428534E-6</v>
      </c>
    </row>
    <row r="34" spans="1:19" x14ac:dyDescent="0.2">
      <c r="A34" s="35" t="s">
        <v>48</v>
      </c>
      <c r="B34" s="13" t="s">
        <v>45</v>
      </c>
      <c r="C34" s="14">
        <v>56579.3658</v>
      </c>
      <c r="D34" s="36">
        <v>8.9999999999999998E-4</v>
      </c>
      <c r="E34">
        <f>+(C34-C$7)/C$8</f>
        <v>51893.858552040219</v>
      </c>
      <c r="F34">
        <f>ROUND(2*E34,0)/2</f>
        <v>51894</v>
      </c>
      <c r="G34">
        <f>+C34-(C$7+F34*C$8)</f>
        <v>-7.3174000004655682E-2</v>
      </c>
      <c r="J34">
        <f>+G34</f>
        <v>-7.3174000004655682E-2</v>
      </c>
      <c r="O34">
        <f ca="1">+C$11+C$12*$F34</f>
        <v>-7.5986572780348149E-2</v>
      </c>
      <c r="Q34" s="2">
        <f>+C34-15018.5</f>
        <v>41560.8658</v>
      </c>
      <c r="S34">
        <f ca="1">(O34-G34)^2</f>
        <v>7.9105656185664327E-6</v>
      </c>
    </row>
    <row r="35" spans="1:19" x14ac:dyDescent="0.2">
      <c r="A35" s="34" t="s">
        <v>50</v>
      </c>
      <c r="B35" s="32" t="s">
        <v>45</v>
      </c>
      <c r="C35" s="34">
        <v>56897.515299999999</v>
      </c>
      <c r="D35" s="34">
        <v>3.5000000000000001E-3</v>
      </c>
      <c r="E35">
        <f>+(C35-C$7)/C$8</f>
        <v>52508.85291724094</v>
      </c>
      <c r="F35">
        <f>ROUND(2*E35,0)/2</f>
        <v>52509</v>
      </c>
      <c r="G35">
        <f>+C35-(C$7+F35*C$8)</f>
        <v>-7.6089000001957174E-2</v>
      </c>
      <c r="J35">
        <f>+G35</f>
        <v>-7.6089000001957174E-2</v>
      </c>
      <c r="O35">
        <f ca="1">+C$11+C$12*$F35</f>
        <v>-8.0185754293151335E-2</v>
      </c>
      <c r="Q35" s="2">
        <f>+C35-15018.5</f>
        <v>41879.015299999999</v>
      </c>
      <c r="S35">
        <f ca="1">(O35-G35)^2</f>
        <v>1.6783395722417764E-5</v>
      </c>
    </row>
    <row r="36" spans="1:19" x14ac:dyDescent="0.2">
      <c r="A36" s="34" t="s">
        <v>51</v>
      </c>
      <c r="B36" s="38"/>
      <c r="C36" s="34">
        <v>56908.378199999999</v>
      </c>
      <c r="D36" s="34">
        <v>4.0000000000000001E-3</v>
      </c>
      <c r="E36">
        <f>+(C36-C$7)/C$8</f>
        <v>52529.851291557854</v>
      </c>
      <c r="F36">
        <f>ROUND(2*E36,0)/2</f>
        <v>52530</v>
      </c>
      <c r="G36">
        <f>+C36-(C$7+F36*C$8)</f>
        <v>-7.6930000002903398E-2</v>
      </c>
      <c r="J36">
        <f>+G36</f>
        <v>-7.6930000002903398E-2</v>
      </c>
      <c r="O36">
        <f ca="1">+C$11+C$12*$F36</f>
        <v>-8.0329140978954328E-2</v>
      </c>
      <c r="Q36" s="2">
        <f>+C36-15018.5</f>
        <v>41889.878199999999</v>
      </c>
      <c r="S36">
        <f ca="1">(O36-G36)^2</f>
        <v>1.1554159375068466E-5</v>
      </c>
    </row>
    <row r="37" spans="1:19" x14ac:dyDescent="0.2">
      <c r="A37" s="34" t="s">
        <v>51</v>
      </c>
      <c r="B37" s="38"/>
      <c r="C37" s="34">
        <v>56918.462699999996</v>
      </c>
      <c r="D37" s="34">
        <v>1E-4</v>
      </c>
      <c r="E37">
        <f>+(C37-C$7)/C$8</f>
        <v>52549.34499082774</v>
      </c>
      <c r="F37">
        <f>ROUND(2*E37,0)/2</f>
        <v>52549.5</v>
      </c>
      <c r="G37">
        <f>+C37-(C$7+F37*C$8)</f>
        <v>-8.0189500004053116E-2</v>
      </c>
      <c r="J37">
        <f>+G37</f>
        <v>-8.0189500004053116E-2</v>
      </c>
      <c r="O37">
        <f ca="1">+C$11+C$12*$F37</f>
        <v>-8.0462285758628571E-2</v>
      </c>
      <c r="Q37" s="2">
        <f>+C37-15018.5</f>
        <v>41899.962699999996</v>
      </c>
      <c r="S37">
        <f ca="1">(O37-G37)^2</f>
        <v>7.4412067899300528E-8</v>
      </c>
    </row>
    <row r="38" spans="1:19" ht="15" customHeight="1" x14ac:dyDescent="0.2">
      <c r="A38" s="63" t="s">
        <v>145</v>
      </c>
      <c r="B38" s="64" t="s">
        <v>45</v>
      </c>
      <c r="C38" s="65">
        <v>56918.462699999996</v>
      </c>
      <c r="D38" s="63">
        <v>3.5000000000000001E-3</v>
      </c>
      <c r="E38">
        <f>+(C38-C$7)/C$8</f>
        <v>52549.34499082774</v>
      </c>
      <c r="F38">
        <f>ROUND(2*E38,0)/2</f>
        <v>52549.5</v>
      </c>
      <c r="G38">
        <f>+C38-(C$7+F38*C$8)</f>
        <v>-8.0189500004053116E-2</v>
      </c>
      <c r="K38">
        <f>+G38</f>
        <v>-8.0189500004053116E-2</v>
      </c>
      <c r="O38">
        <f ca="1">+C$11+C$12*$F38</f>
        <v>-8.0462285758628571E-2</v>
      </c>
      <c r="Q38" s="2">
        <f>+C38-15018.5</f>
        <v>41899.962699999996</v>
      </c>
      <c r="S38">
        <f ca="1">(O38-G38)^2</f>
        <v>7.4412067899300528E-8</v>
      </c>
    </row>
    <row r="39" spans="1:19" x14ac:dyDescent="0.2">
      <c r="A39" s="55" t="s">
        <v>144</v>
      </c>
      <c r="B39" s="56"/>
      <c r="C39" s="55">
        <v>57258.339</v>
      </c>
      <c r="D39" s="55">
        <v>3.0000000000000001E-3</v>
      </c>
      <c r="E39">
        <f>+(C39-C$7)/C$8</f>
        <v>53206.338037698064</v>
      </c>
      <c r="F39">
        <f>ROUND(2*E39,0)/2</f>
        <v>53206.5</v>
      </c>
      <c r="G39">
        <f>+C39-(C$7+F39*C$8)</f>
        <v>-8.3786499999405351E-2</v>
      </c>
      <c r="J39">
        <f>+G39</f>
        <v>-8.3786499999405351E-2</v>
      </c>
      <c r="O39">
        <f ca="1">+C$11+C$12*$F39</f>
        <v>-8.4948240643037798E-2</v>
      </c>
      <c r="Q39" s="2">
        <f>+C39-15018.5</f>
        <v>42239.839</v>
      </c>
      <c r="S39">
        <f ca="1">(O39-G39)^2</f>
        <v>1.3496413230675329E-6</v>
      </c>
    </row>
    <row r="40" spans="1:19" x14ac:dyDescent="0.2">
      <c r="A40" s="57" t="s">
        <v>0</v>
      </c>
      <c r="B40" s="58" t="s">
        <v>45</v>
      </c>
      <c r="C40" s="59">
        <v>57893.598700000002</v>
      </c>
      <c r="D40" s="59">
        <v>1E-4</v>
      </c>
      <c r="E40">
        <f>+(C40-C$7)/C$8</f>
        <v>54434.317764018859</v>
      </c>
      <c r="F40">
        <f>ROUND(2*E40,0)/2</f>
        <v>54434.5</v>
      </c>
      <c r="G40">
        <f>+C40-(C$7+F40*C$8)</f>
        <v>-9.4274499999301042E-2</v>
      </c>
      <c r="K40">
        <f>+G40</f>
        <v>-9.4274499999301042E-2</v>
      </c>
      <c r="O40">
        <f ca="1">+C$11+C$12*$F40</f>
        <v>-9.3332947793805743E-2</v>
      </c>
      <c r="Q40" s="2">
        <f>+C40-15018.5</f>
        <v>42875.098700000002</v>
      </c>
      <c r="S40">
        <f ca="1">(O40-G40)^2</f>
        <v>8.8652055567306289E-7</v>
      </c>
    </row>
    <row r="41" spans="1:19" x14ac:dyDescent="0.2">
      <c r="A41" s="57" t="s">
        <v>0</v>
      </c>
      <c r="B41" s="58" t="s">
        <v>45</v>
      </c>
      <c r="C41" s="59">
        <v>57899.549400000004</v>
      </c>
      <c r="D41" s="59">
        <v>4.0000000000000002E-4</v>
      </c>
      <c r="E41">
        <f>+(C41-C$7)/C$8</f>
        <v>54445.820680003329</v>
      </c>
      <c r="F41">
        <f>ROUND(2*E41,0)/2</f>
        <v>54446</v>
      </c>
      <c r="G41">
        <f>+C41-(C$7+F41*C$8)</f>
        <v>-9.2766000001574866E-2</v>
      </c>
      <c r="K41">
        <f>+G41</f>
        <v>-9.2766000001574866E-2</v>
      </c>
      <c r="O41">
        <f ca="1">+C$11+C$12*$F41</f>
        <v>-9.3411469074126452E-2</v>
      </c>
      <c r="Q41" s="2">
        <f>+C41-15018.5</f>
        <v>42881.049400000004</v>
      </c>
      <c r="S41">
        <f ca="1">(O41-G41)^2</f>
        <v>4.1663032362060394E-7</v>
      </c>
    </row>
    <row r="42" spans="1:19" x14ac:dyDescent="0.2">
      <c r="A42" s="57" t="s">
        <v>0</v>
      </c>
      <c r="B42" s="58" t="s">
        <v>45</v>
      </c>
      <c r="C42" s="59">
        <v>57907.566700000003</v>
      </c>
      <c r="D42" s="59">
        <v>2.0000000000000001E-4</v>
      </c>
      <c r="E42">
        <f>+(C42-C$7)/C$8</f>
        <v>54461.31840771978</v>
      </c>
      <c r="F42">
        <f>ROUND(2*E42,0)/2</f>
        <v>54461.5</v>
      </c>
      <c r="G42">
        <f>+C42-(C$7+F42*C$8)</f>
        <v>-9.3941499995708E-2</v>
      </c>
      <c r="K42">
        <f>+G42</f>
        <v>-9.3941499995708E-2</v>
      </c>
      <c r="O42">
        <f ca="1">+C$11+C$12*$F42</f>
        <v>-9.3517302104123901E-2</v>
      </c>
      <c r="Q42" s="2">
        <f>+C42-15018.5</f>
        <v>42889.066700000003</v>
      </c>
      <c r="S42">
        <f ca="1">(O42-G42)^2</f>
        <v>1.7994385122439534E-7</v>
      </c>
    </row>
    <row r="43" spans="1:19" x14ac:dyDescent="0.2">
      <c r="A43" s="57" t="s">
        <v>0</v>
      </c>
      <c r="B43" s="58" t="s">
        <v>45</v>
      </c>
      <c r="C43" s="59">
        <v>57921.533600000002</v>
      </c>
      <c r="D43" s="59">
        <v>2.0000000000000001E-4</v>
      </c>
      <c r="E43">
        <f>+(C43-C$7)/C$8</f>
        <v>54488.316925081337</v>
      </c>
      <c r="F43">
        <f>ROUND(2*E43,0)/2</f>
        <v>54488.5</v>
      </c>
      <c r="G43">
        <f>+C43-(C$7+F43*C$8)</f>
        <v>-9.4708500000706408E-2</v>
      </c>
      <c r="K43">
        <f>+G43</f>
        <v>-9.4708500000706408E-2</v>
      </c>
      <c r="O43">
        <f ca="1">+C$11+C$12*$F43</f>
        <v>-9.3701656414442114E-2</v>
      </c>
      <c r="Q43" s="2">
        <f>+C43-15018.5</f>
        <v>42903.033600000002</v>
      </c>
      <c r="S43">
        <f ca="1">(O43-G43)^2</f>
        <v>1.0137340072015455E-6</v>
      </c>
    </row>
    <row r="44" spans="1:19" x14ac:dyDescent="0.2">
      <c r="A44" s="57" t="s">
        <v>0</v>
      </c>
      <c r="B44" s="58" t="s">
        <v>45</v>
      </c>
      <c r="C44" s="59">
        <v>57935.501700000001</v>
      </c>
      <c r="D44" s="59">
        <v>1E-4</v>
      </c>
      <c r="E44">
        <f>+(C44-C$7)/C$8</f>
        <v>54515.317762085826</v>
      </c>
      <c r="F44">
        <f>ROUND(2*E44,0)/2</f>
        <v>54515.5</v>
      </c>
      <c r="G44">
        <f>+C44-(C$7+F44*C$8)</f>
        <v>-9.4275499999639578E-2</v>
      </c>
      <c r="K44">
        <f>+G44</f>
        <v>-9.4275499999639578E-2</v>
      </c>
      <c r="O44">
        <f ca="1">+C$11+C$12*$F44</f>
        <v>-9.3886010724760272E-2</v>
      </c>
      <c r="Q44" s="2">
        <f>+C44-15018.5</f>
        <v>42917.001700000001</v>
      </c>
      <c r="S44">
        <f ca="1">(O44-G44)^2</f>
        <v>1.5170189524600807E-7</v>
      </c>
    </row>
    <row r="45" spans="1:19" x14ac:dyDescent="0.2">
      <c r="A45" s="57" t="s">
        <v>0</v>
      </c>
      <c r="B45" s="58" t="s">
        <v>45</v>
      </c>
      <c r="C45" s="59">
        <v>57949.468500000003</v>
      </c>
      <c r="D45" s="59">
        <v>2.0000000000000001E-4</v>
      </c>
      <c r="E45">
        <f>+(C45-C$7)/C$8</f>
        <v>54542.316086143808</v>
      </c>
      <c r="F45">
        <f>ROUND(2*E45,0)/2</f>
        <v>54542.5</v>
      </c>
      <c r="G45">
        <f>+C45-(C$7+F45*C$8)</f>
        <v>-9.5142499994835816E-2</v>
      </c>
      <c r="K45">
        <f>+G45</f>
        <v>-9.5142499994835816E-2</v>
      </c>
      <c r="O45">
        <f ca="1">+C$11+C$12*$F45</f>
        <v>-9.4070365035078485E-2</v>
      </c>
      <c r="Q45" s="2">
        <f>+C45-15018.5</f>
        <v>42930.968500000003</v>
      </c>
      <c r="S45">
        <f ca="1">(O45-G45)^2</f>
        <v>1.1494733719338549E-6</v>
      </c>
    </row>
    <row r="46" spans="1:19" x14ac:dyDescent="0.2">
      <c r="A46" s="57" t="s">
        <v>0</v>
      </c>
      <c r="B46" s="58" t="s">
        <v>45</v>
      </c>
      <c r="C46" s="59">
        <v>57950.502999999997</v>
      </c>
      <c r="D46" s="59">
        <v>2.0000000000000001E-4</v>
      </c>
      <c r="E46">
        <f>+(C46-C$7)/C$8</f>
        <v>54544.315811652719</v>
      </c>
      <c r="F46">
        <f>ROUND(2*E46,0)/2</f>
        <v>54544.5</v>
      </c>
      <c r="G46">
        <f>+C46-(C$7+F46*C$8)</f>
        <v>-9.5284499999252148E-2</v>
      </c>
      <c r="K46">
        <f>+G46</f>
        <v>-9.5284499999252148E-2</v>
      </c>
      <c r="O46">
        <f ca="1">+C$11+C$12*$F46</f>
        <v>-9.4084020909916855E-2</v>
      </c>
      <c r="Q46" s="2">
        <f>+C46-15018.5</f>
        <v>42932.002999999997</v>
      </c>
      <c r="S46">
        <f ca="1">(O46-G46)^2</f>
        <v>1.4411500439312956E-6</v>
      </c>
    </row>
    <row r="47" spans="1:19" x14ac:dyDescent="0.2">
      <c r="A47" s="57" t="s">
        <v>0</v>
      </c>
      <c r="B47" s="58" t="s">
        <v>45</v>
      </c>
      <c r="C47" s="59">
        <v>57978.438000000002</v>
      </c>
      <c r="D47" s="59">
        <v>2.0000000000000001E-4</v>
      </c>
      <c r="E47">
        <f>+(C47-C$7)/C$8</f>
        <v>54598.31516601878</v>
      </c>
      <c r="F47">
        <f>ROUND(2*E47,0)/2</f>
        <v>54598.5</v>
      </c>
      <c r="G47">
        <f>+C47-(C$7+F47*C$8)</f>
        <v>-9.5618500003183726E-2</v>
      </c>
      <c r="K47">
        <f>+G47</f>
        <v>-9.5618500003183726E-2</v>
      </c>
      <c r="O47">
        <f ca="1">+C$11+C$12*$F47</f>
        <v>-9.4452729530553226E-2</v>
      </c>
      <c r="Q47" s="2">
        <f>+C47-15018.5</f>
        <v>42959.938000000002</v>
      </c>
      <c r="S47">
        <f ca="1">(O47-G47)^2</f>
        <v>1.3590207948571411E-6</v>
      </c>
    </row>
    <row r="48" spans="1:19" x14ac:dyDescent="0.2">
      <c r="A48" s="63" t="s">
        <v>145</v>
      </c>
      <c r="B48" s="64" t="s">
        <v>143</v>
      </c>
      <c r="C48" s="65">
        <v>58043.361599999997</v>
      </c>
      <c r="D48" s="63">
        <v>3.5000000000000001E-3</v>
      </c>
      <c r="E48">
        <f>+(C48-C$7)/C$8</f>
        <v>54723.814807440634</v>
      </c>
      <c r="F48">
        <f>ROUND(2*E48,0)/2</f>
        <v>54724</v>
      </c>
      <c r="G48">
        <f>+C48-(C$7+F48*C$8)</f>
        <v>-9.5804000004136469E-2</v>
      </c>
      <c r="K48">
        <f>+G48</f>
        <v>-9.5804000004136469E-2</v>
      </c>
      <c r="O48">
        <f ca="1">+C$11+C$12*$F48</f>
        <v>-9.5309635676661841E-2</v>
      </c>
      <c r="Q48" s="2">
        <f>+C48-15018.5</f>
        <v>43024.861599999997</v>
      </c>
      <c r="S48">
        <f ca="1">(O48-G48)^2</f>
        <v>2.4439608827944113E-7</v>
      </c>
    </row>
    <row r="49" spans="1:19" x14ac:dyDescent="0.2">
      <c r="A49" s="63" t="s">
        <v>145</v>
      </c>
      <c r="B49" s="64" t="s">
        <v>45</v>
      </c>
      <c r="C49" s="65">
        <v>59069.4545</v>
      </c>
      <c r="D49" s="63">
        <v>3.5000000000000001E-3</v>
      </c>
      <c r="E49">
        <f>+(C49-C$7)/C$8</f>
        <v>56707.289091299208</v>
      </c>
      <c r="F49">
        <f>ROUND(2*E49,0)/2</f>
        <v>56707.5</v>
      </c>
      <c r="G49">
        <f>+C49-(C$7+F49*C$8)</f>
        <v>-0.10910750000039116</v>
      </c>
      <c r="K49">
        <f>+G49</f>
        <v>-0.10910750000039116</v>
      </c>
      <c r="O49">
        <f ca="1">+C$11+C$12*$F49</f>
        <v>-0.10885284954762936</v>
      </c>
      <c r="Q49" s="2">
        <f>+C49-15018.5</f>
        <v>44050.9545</v>
      </c>
      <c r="S49">
        <f ca="1">(O49-G49)^2</f>
        <v>6.4846853091787409E-8</v>
      </c>
    </row>
    <row r="50" spans="1:19" x14ac:dyDescent="0.2">
      <c r="A50" s="63" t="s">
        <v>145</v>
      </c>
      <c r="B50" s="64" t="s">
        <v>45</v>
      </c>
      <c r="C50" s="65">
        <v>59071.523300000001</v>
      </c>
      <c r="D50" s="63">
        <v>3.5000000000000001E-3</v>
      </c>
      <c r="E50">
        <f>+(C50-C$7)/C$8</f>
        <v>56711.288155709895</v>
      </c>
      <c r="F50">
        <f>ROUND(2*E50,0)/2</f>
        <v>56711.5</v>
      </c>
      <c r="G50">
        <f>+C50-(C$7+F50*C$8)</f>
        <v>-0.10959150000417139</v>
      </c>
      <c r="K50">
        <f>+G50</f>
        <v>-0.10959150000417139</v>
      </c>
      <c r="O50">
        <f ca="1">+C$11+C$12*$F50</f>
        <v>-0.10888016129730615</v>
      </c>
      <c r="Q50" s="2">
        <f>+C50-15018.5</f>
        <v>44053.023300000001</v>
      </c>
      <c r="S50">
        <f ca="1">(O50-G50)^2</f>
        <v>5.0600275588471018E-7</v>
      </c>
    </row>
    <row r="51" spans="1:19" x14ac:dyDescent="0.2">
      <c r="A51" s="63" t="s">
        <v>145</v>
      </c>
      <c r="B51" s="64" t="s">
        <v>45</v>
      </c>
      <c r="C51" s="65">
        <v>59372.599000000002</v>
      </c>
      <c r="D51" s="63">
        <v>3.5000000000000001E-3</v>
      </c>
      <c r="E51">
        <f>+(C51-C$7)/C$8</f>
        <v>57293.278254700665</v>
      </c>
      <c r="F51">
        <f>ROUND(2*E51,0)/2</f>
        <v>57293.5</v>
      </c>
      <c r="G51">
        <f>+C51-(C$7+F51*C$8)</f>
        <v>-0.11471349999919767</v>
      </c>
      <c r="K51">
        <f>+G51</f>
        <v>-0.11471349999919767</v>
      </c>
      <c r="O51">
        <f ca="1">+C$11+C$12*$F51</f>
        <v>-0.11285402087527596</v>
      </c>
      <c r="Q51" s="2">
        <f>+C51-15018.5</f>
        <v>44354.099000000002</v>
      </c>
      <c r="S51">
        <f ca="1">(O51-G51)^2</f>
        <v>3.4576626123006258E-6</v>
      </c>
    </row>
    <row r="52" spans="1:19" x14ac:dyDescent="0.2">
      <c r="A52" s="63" t="s">
        <v>145</v>
      </c>
      <c r="B52" s="64" t="s">
        <v>45</v>
      </c>
      <c r="C52" s="65">
        <v>59443.472300000001</v>
      </c>
      <c r="D52" s="63">
        <v>3.5000000000000001E-3</v>
      </c>
      <c r="E52">
        <f>+(C52-C$7)/C$8</f>
        <v>57430.278879071215</v>
      </c>
      <c r="F52">
        <f>ROUND(2*E52,0)/2</f>
        <v>57430.5</v>
      </c>
      <c r="G52">
        <f>+C52-(C$7+F52*C$8)</f>
        <v>-0.11439049999898998</v>
      </c>
      <c r="K52">
        <f>+G52</f>
        <v>-0.11439049999898998</v>
      </c>
      <c r="O52">
        <f ca="1">+C$11+C$12*$F52</f>
        <v>-0.11378944830170529</v>
      </c>
      <c r="Q52" s="2">
        <f>+C52-15018.5</f>
        <v>44424.972300000001</v>
      </c>
      <c r="S52">
        <f ca="1">(O52-G52)^2</f>
        <v>3.6126314280881086E-7</v>
      </c>
    </row>
    <row r="53" spans="1:19" x14ac:dyDescent="0.2">
      <c r="A53" s="63" t="s">
        <v>145</v>
      </c>
      <c r="B53" s="64" t="s">
        <v>45</v>
      </c>
      <c r="C53" s="65">
        <v>59461.320399999997</v>
      </c>
      <c r="D53" s="63">
        <v>4.8999999999999998E-3</v>
      </c>
      <c r="E53">
        <f>+(C53-C$7)/C$8</f>
        <v>57464.779894881511</v>
      </c>
      <c r="F53">
        <f>ROUND(2*E53,0)/2</f>
        <v>57465</v>
      </c>
      <c r="G53">
        <f>+C53-(C$7+F53*C$8)</f>
        <v>-0.11386500000662636</v>
      </c>
      <c r="K53">
        <f>+G53</f>
        <v>-0.11386500000662636</v>
      </c>
      <c r="O53">
        <f ca="1">+C$11+C$12*$F53</f>
        <v>-0.11402501214266741</v>
      </c>
      <c r="Q53" s="2">
        <f>+C53-15018.5</f>
        <v>44442.820399999997</v>
      </c>
      <c r="S53">
        <f ca="1">(O53-G53)^2</f>
        <v>2.5603883680420923E-8</v>
      </c>
    </row>
    <row r="54" spans="1:19" x14ac:dyDescent="0.2">
      <c r="A54" s="63" t="s">
        <v>145</v>
      </c>
      <c r="B54" s="64" t="s">
        <v>45</v>
      </c>
      <c r="C54" s="65">
        <v>59470.3724</v>
      </c>
      <c r="D54" s="63">
        <v>3.5000000000000001E-3</v>
      </c>
      <c r="E54">
        <f>+(C54-C$7)/C$8</f>
        <v>57482.277734714036</v>
      </c>
      <c r="F54">
        <f>ROUND(2*E54,0)/2</f>
        <v>57482.5</v>
      </c>
      <c r="G54">
        <f>+C54-(C$7+F54*C$8)</f>
        <v>-0.11498249999567633</v>
      </c>
      <c r="K54">
        <f>+G54</f>
        <v>-0.11498249999567633</v>
      </c>
      <c r="O54">
        <f ca="1">+C$11+C$12*$F54</f>
        <v>-0.11414450104750329</v>
      </c>
      <c r="Q54" s="2">
        <f>+C54-15018.5</f>
        <v>44451.8724</v>
      </c>
      <c r="S54">
        <f ca="1">(O54-G54)^2</f>
        <v>7.022422371391324E-7</v>
      </c>
    </row>
    <row r="55" spans="1:19" x14ac:dyDescent="0.2">
      <c r="C55" s="10"/>
      <c r="D55" s="10"/>
    </row>
    <row r="56" spans="1:19" x14ac:dyDescent="0.2">
      <c r="C56" s="10"/>
      <c r="D56" s="10"/>
    </row>
    <row r="57" spans="1:19" x14ac:dyDescent="0.2">
      <c r="C57" s="10"/>
      <c r="D57" s="10"/>
    </row>
    <row r="58" spans="1:19" x14ac:dyDescent="0.2">
      <c r="C58" s="10"/>
      <c r="D58" s="10"/>
    </row>
    <row r="59" spans="1:19" x14ac:dyDescent="0.2">
      <c r="C59" s="10"/>
      <c r="D59" s="10"/>
    </row>
    <row r="60" spans="1:19" x14ac:dyDescent="0.2">
      <c r="C60" s="10"/>
      <c r="D60" s="10"/>
    </row>
    <row r="61" spans="1:19" x14ac:dyDescent="0.2">
      <c r="C61" s="10"/>
      <c r="D61" s="10"/>
    </row>
    <row r="62" spans="1:19" x14ac:dyDescent="0.2">
      <c r="C62" s="10"/>
      <c r="D62" s="10"/>
    </row>
    <row r="63" spans="1:19" x14ac:dyDescent="0.2">
      <c r="C63" s="10"/>
      <c r="D63" s="10"/>
    </row>
    <row r="64" spans="1:19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ortState xmlns:xlrd2="http://schemas.microsoft.com/office/spreadsheetml/2017/richdata2" ref="A21:U54">
    <sortCondition ref="C21:C54"/>
  </sortState>
  <phoneticPr fontId="8" type="noConversion"/>
  <hyperlinks>
    <hyperlink ref="H63833" r:id="rId1" display="http://vsolj.cetus-net.org/bulletin.html"/>
    <hyperlink ref="H63826" r:id="rId2" display="https://www.aavso.org/ejaavso"/>
    <hyperlink ref="I63833" r:id="rId3" display="http://vsolj.cetus-net.org/bulletin.html"/>
    <hyperlink ref="AQ57484" r:id="rId4" display="http://cdsbib.u-strasbg.fr/cgi-bin/cdsbib?1990RMxAA..21..381G"/>
    <hyperlink ref="H63830" r:id="rId5" display="https://www.aavso.org/ejaavso"/>
    <hyperlink ref="AP4848" r:id="rId6" display="http://cdsbib.u-strasbg.fr/cgi-bin/cdsbib?1990RMxAA..21..381G"/>
    <hyperlink ref="AP4851" r:id="rId7" display="http://cdsbib.u-strasbg.fr/cgi-bin/cdsbib?1990RMxAA..21..381G"/>
    <hyperlink ref="AP4849" r:id="rId8" display="http://cdsbib.u-strasbg.fr/cgi-bin/cdsbib?1990RMxAA..21..381G"/>
    <hyperlink ref="AP4833" r:id="rId9" display="http://cdsbib.u-strasbg.fr/cgi-bin/cdsbib?1990RMxAA..21..381G"/>
    <hyperlink ref="AQ5062" r:id="rId10" display="http://cdsbib.u-strasbg.fr/cgi-bin/cdsbib?1990RMxAA..21..381G"/>
    <hyperlink ref="AQ5066" r:id="rId11" display="http://cdsbib.u-strasbg.fr/cgi-bin/cdsbib?1990RMxAA..21..381G"/>
    <hyperlink ref="AQ64746" r:id="rId12" display="http://cdsbib.u-strasbg.fr/cgi-bin/cdsbib?1990RMxAA..21..381G"/>
    <hyperlink ref="I1954" r:id="rId13" display="http://vsolj.cetus-net.org/bulletin.html"/>
    <hyperlink ref="H1954" r:id="rId14" display="http://vsolj.cetus-net.org/bulletin.html"/>
    <hyperlink ref="AQ65407" r:id="rId15" display="http://cdsbib.u-strasbg.fr/cgi-bin/cdsbib?1990RMxAA..21..381G"/>
    <hyperlink ref="AQ65406" r:id="rId16" display="http://cdsbib.u-strasbg.fr/cgi-bin/cdsbib?1990RMxAA..21..381G"/>
    <hyperlink ref="AP3124" r:id="rId17" display="http://cdsbib.u-strasbg.fr/cgi-bin/cdsbib?1990RMxAA..21..381G"/>
    <hyperlink ref="AP3142" r:id="rId18" display="http://cdsbib.u-strasbg.fr/cgi-bin/cdsbib?1990RMxAA..21..381G"/>
    <hyperlink ref="AP3143" r:id="rId19" display="http://cdsbib.u-strasbg.fr/cgi-bin/cdsbib?1990RMxAA..21..381G"/>
    <hyperlink ref="AP313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workbookViewId="0">
      <selection activeCell="C18" sqref="C1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x14ac:dyDescent="0.2">
      <c r="A2" t="s">
        <v>28</v>
      </c>
      <c r="B2" s="11" t="s">
        <v>33</v>
      </c>
      <c r="C2" s="3"/>
      <c r="D2" s="60" t="s">
        <v>1</v>
      </c>
    </row>
    <row r="3" spans="1:6" ht="13.5" thickBot="1" x14ac:dyDescent="0.25"/>
    <row r="4" spans="1:6" ht="14.25" thickTop="1" thickBot="1" x14ac:dyDescent="0.25">
      <c r="A4" s="5" t="s">
        <v>4</v>
      </c>
      <c r="C4" s="8">
        <v>29733.582999999999</v>
      </c>
      <c r="D4" s="9">
        <v>1.073329</v>
      </c>
    </row>
    <row r="5" spans="1:6" ht="13.5" thickTop="1" x14ac:dyDescent="0.2">
      <c r="A5" s="15" t="s">
        <v>36</v>
      </c>
      <c r="B5" s="11"/>
      <c r="C5" s="16">
        <v>-9.5</v>
      </c>
      <c r="D5" s="11" t="s">
        <v>37</v>
      </c>
    </row>
    <row r="6" spans="1:6" x14ac:dyDescent="0.2">
      <c r="A6" s="5" t="s">
        <v>5</v>
      </c>
    </row>
    <row r="7" spans="1:6" x14ac:dyDescent="0.2">
      <c r="A7" t="s">
        <v>6</v>
      </c>
      <c r="C7">
        <f>+C4</f>
        <v>29733.582999999999</v>
      </c>
    </row>
    <row r="8" spans="1:6" x14ac:dyDescent="0.2">
      <c r="A8" t="s">
        <v>7</v>
      </c>
      <c r="C8">
        <f>+D4</f>
        <v>1.073329</v>
      </c>
    </row>
    <row r="9" spans="1:6" x14ac:dyDescent="0.2">
      <c r="A9" s="29" t="s">
        <v>41</v>
      </c>
      <c r="B9" s="30">
        <v>21</v>
      </c>
      <c r="C9" s="18" t="str">
        <f>"F"&amp;B9</f>
        <v>F21</v>
      </c>
      <c r="D9" s="19" t="str">
        <f>"G"&amp;B9</f>
        <v>G21</v>
      </c>
    </row>
    <row r="10" spans="1:6" ht="13.5" thickBot="1" x14ac:dyDescent="0.25">
      <c r="A10" s="11"/>
      <c r="B10" s="11"/>
      <c r="C10" s="4" t="s">
        <v>24</v>
      </c>
      <c r="D10" s="4" t="s">
        <v>25</v>
      </c>
      <c r="E10" s="11"/>
    </row>
    <row r="11" spans="1:6" x14ac:dyDescent="0.2">
      <c r="A11" s="11" t="s">
        <v>20</v>
      </c>
      <c r="B11" s="11"/>
      <c r="C11" s="17">
        <f ca="1">INTERCEPT(INDIRECT($D$9):G992,INDIRECT($C$9):F992)</f>
        <v>-5.2504138322206559E-2</v>
      </c>
      <c r="D11" s="3"/>
      <c r="E11" s="11"/>
    </row>
    <row r="12" spans="1:6" x14ac:dyDescent="0.2">
      <c r="A12" s="11" t="s">
        <v>21</v>
      </c>
      <c r="B12" s="11"/>
      <c r="C12" s="17">
        <f ca="1">SLOPE(INDIRECT($D$9):G992,INDIRECT($C$9):F992)</f>
        <v>6.0641322371463114E-6</v>
      </c>
      <c r="D12" s="3"/>
      <c r="E12" s="11"/>
    </row>
    <row r="13" spans="1:6" x14ac:dyDescent="0.2">
      <c r="A13" s="11" t="s">
        <v>23</v>
      </c>
      <c r="B13" s="11"/>
      <c r="C13" s="3" t="s">
        <v>18</v>
      </c>
    </row>
    <row r="14" spans="1:6" x14ac:dyDescent="0.2">
      <c r="A14" s="11"/>
      <c r="B14" s="11"/>
      <c r="C14" s="11"/>
    </row>
    <row r="15" spans="1:6" x14ac:dyDescent="0.2">
      <c r="A15" s="20" t="s">
        <v>22</v>
      </c>
      <c r="B15" s="11"/>
      <c r="C15" s="21">
        <f ca="1">(C7+C11)+(C8+C12)*INT(MAX(F21:F3533))</f>
        <v>59470.278447645309</v>
      </c>
      <c r="E15" s="22" t="s">
        <v>42</v>
      </c>
      <c r="F15" s="16">
        <v>1</v>
      </c>
    </row>
    <row r="16" spans="1:6" x14ac:dyDescent="0.2">
      <c r="A16" s="24" t="s">
        <v>8</v>
      </c>
      <c r="B16" s="11"/>
      <c r="C16" s="25">
        <f ca="1">+C8+C12</f>
        <v>1.0733350641322372</v>
      </c>
      <c r="E16" s="22" t="s">
        <v>38</v>
      </c>
      <c r="F16" s="23">
        <f ca="1">NOW()+15018.5+$C$5/24</f>
        <v>59963.687176504631</v>
      </c>
    </row>
    <row r="17" spans="1:21" ht="13.5" thickBot="1" x14ac:dyDescent="0.25">
      <c r="A17" s="22" t="s">
        <v>32</v>
      </c>
      <c r="B17" s="11"/>
      <c r="C17" s="11">
        <f>COUNT(C21:C2191)</f>
        <v>34</v>
      </c>
      <c r="E17" s="22" t="s">
        <v>43</v>
      </c>
      <c r="F17" s="23">
        <f ca="1">ROUND(2*(F16-$C$7)/$C$8,0)/2+F15</f>
        <v>28166</v>
      </c>
    </row>
    <row r="18" spans="1:21" ht="14.25" thickTop="1" thickBot="1" x14ac:dyDescent="0.25">
      <c r="A18" s="24" t="s">
        <v>9</v>
      </c>
      <c r="B18" s="11"/>
      <c r="C18" s="27">
        <f ca="1">+C15</f>
        <v>59470.278447645309</v>
      </c>
      <c r="D18" s="28">
        <f ca="1">+C16</f>
        <v>1.0733350641322372</v>
      </c>
      <c r="E18" s="22" t="s">
        <v>39</v>
      </c>
      <c r="F18" s="19">
        <f ca="1">ROUND(2*(F16-$C$15)/$C$16,0)/2+F15</f>
        <v>460.5</v>
      </c>
    </row>
    <row r="19" spans="1:21" ht="13.5" thickTop="1" x14ac:dyDescent="0.2">
      <c r="E19" s="22" t="s">
        <v>40</v>
      </c>
      <c r="F19" s="26">
        <f ca="1">+$C$15+$C$16*F18-15018.5-$C$5/24</f>
        <v>44946.445078011537</v>
      </c>
      <c r="S19">
        <f ca="1">SUM(S21:S46)</f>
        <v>0.75181147939352444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17</v>
      </c>
      <c r="E20" s="4" t="s">
        <v>13</v>
      </c>
      <c r="F20" s="4" t="s">
        <v>14</v>
      </c>
      <c r="G20" s="4" t="s">
        <v>15</v>
      </c>
      <c r="H20" s="7" t="s">
        <v>59</v>
      </c>
      <c r="I20" s="7" t="s">
        <v>62</v>
      </c>
      <c r="J20" s="7" t="s">
        <v>56</v>
      </c>
      <c r="K20" s="7" t="s">
        <v>54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</row>
    <row r="21" spans="1:21" x14ac:dyDescent="0.2">
      <c r="A21" t="s">
        <v>16</v>
      </c>
      <c r="C21" s="10">
        <v>29733.582999999999</v>
      </c>
      <c r="D21" s="10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-5.2504138322206559E-2</v>
      </c>
      <c r="Q21" s="2">
        <f>+C21-15018.5</f>
        <v>14715.082999999999</v>
      </c>
      <c r="S21">
        <f ca="1">(O21-G21)^2</f>
        <v>2.7566845409573992E-3</v>
      </c>
    </row>
    <row r="22" spans="1:21" x14ac:dyDescent="0.2">
      <c r="A22" s="12" t="s">
        <v>34</v>
      </c>
      <c r="B22" s="13"/>
      <c r="C22" s="14">
        <v>53672.310899999997</v>
      </c>
      <c r="D22" s="14">
        <v>1.6000000000000001E-3</v>
      </c>
      <c r="E22">
        <f>+(C22-C$7)/C$8</f>
        <v>22303.252683939405</v>
      </c>
      <c r="F22">
        <f>ROUND(2*E22,0)/2</f>
        <v>22303.5</v>
      </c>
      <c r="G22">
        <f>+C22-(C$7+F22*C$8)</f>
        <v>-0.26545150000310969</v>
      </c>
      <c r="J22">
        <f>+G22</f>
        <v>-0.26545150000310969</v>
      </c>
      <c r="O22">
        <f ca="1">+C$11+C$12*$F22</f>
        <v>8.2747235028986191E-2</v>
      </c>
      <c r="Q22" s="2">
        <f>+C22-15018.5</f>
        <v>38653.810899999997</v>
      </c>
      <c r="S22">
        <f ca="1">(O22-G22)^2</f>
        <v>0.12124235907795171</v>
      </c>
    </row>
    <row r="23" spans="1:21" x14ac:dyDescent="0.2">
      <c r="A23" s="12" t="s">
        <v>44</v>
      </c>
      <c r="B23" s="31" t="s">
        <v>45</v>
      </c>
      <c r="C23" s="14">
        <v>55063.371749999998</v>
      </c>
      <c r="D23" s="14">
        <v>1E-4</v>
      </c>
      <c r="E23">
        <f>+(C23-C$7)/C$8</f>
        <v>23599.277341802932</v>
      </c>
      <c r="F23">
        <f>ROUND(2*E23,0)/2</f>
        <v>23599.5</v>
      </c>
      <c r="G23">
        <f>+C23-(C$7+F23*C$8)</f>
        <v>-0.23898550000012619</v>
      </c>
      <c r="K23">
        <f>+G23</f>
        <v>-0.23898550000012619</v>
      </c>
      <c r="O23">
        <f ca="1">+C$11+C$12*$F23</f>
        <v>9.0606350408327804E-2</v>
      </c>
      <c r="Q23" s="2">
        <f>+C23-15018.5</f>
        <v>40044.871749999998</v>
      </c>
      <c r="S23">
        <f ca="1">(O23-G23)^2</f>
        <v>0.10863078785566872</v>
      </c>
    </row>
    <row r="24" spans="1:21" x14ac:dyDescent="0.2">
      <c r="A24" s="52" t="s">
        <v>80</v>
      </c>
      <c r="B24" s="54" t="s">
        <v>143</v>
      </c>
      <c r="C24" s="53">
        <v>55074.497499999998</v>
      </c>
      <c r="D24" s="10"/>
      <c r="E24">
        <f>+(C24-C$7)/C$8</f>
        <v>23609.642989241882</v>
      </c>
      <c r="F24">
        <f>ROUND(2*E24,0)/2</f>
        <v>23609.5</v>
      </c>
      <c r="G24">
        <f>+C24-(C$7+F24*C$8)</f>
        <v>0.15347449999535456</v>
      </c>
      <c r="K24">
        <f>+G24</f>
        <v>0.15347449999535456</v>
      </c>
      <c r="O24">
        <f ca="1">+C$11+C$12*$F24</f>
        <v>9.0666991730699267E-2</v>
      </c>
      <c r="Q24" s="2">
        <f>+C24-15018.5</f>
        <v>40055.997499999998</v>
      </c>
      <c r="S24">
        <f ca="1">(O24-G24)^2</f>
        <v>3.9447830944147437E-3</v>
      </c>
    </row>
    <row r="25" spans="1:21" x14ac:dyDescent="0.2">
      <c r="A25" s="37" t="s">
        <v>49</v>
      </c>
      <c r="B25" s="37"/>
      <c r="C25" s="33">
        <v>55380.485800000002</v>
      </c>
      <c r="D25" s="33">
        <v>2.9999999999999997E-4</v>
      </c>
      <c r="E25">
        <f>+(C25-C$7)/C$8</f>
        <v>23894.72640728053</v>
      </c>
      <c r="F25">
        <f>ROUND(2*E25,0)/2</f>
        <v>23894.5</v>
      </c>
      <c r="G25">
        <f>+C25-(C$7+F25*C$8)</f>
        <v>0.24300950000906596</v>
      </c>
      <c r="J25">
        <f>+G25</f>
        <v>0.24300950000906596</v>
      </c>
      <c r="O25">
        <f ca="1">+C$11+C$12*$F25</f>
        <v>9.2395269418285977E-2</v>
      </c>
      <c r="Q25" s="2">
        <f>+C25-15018.5</f>
        <v>40361.985800000002</v>
      </c>
      <c r="S25">
        <f ca="1">(O25-G25)^2</f>
        <v>2.2684646456452649E-2</v>
      </c>
    </row>
    <row r="26" spans="1:21" x14ac:dyDescent="0.2">
      <c r="A26" s="37" t="s">
        <v>49</v>
      </c>
      <c r="B26" s="37"/>
      <c r="C26" s="33">
        <v>55387.471299999997</v>
      </c>
      <c r="D26" s="33">
        <v>8.0000000000000004E-4</v>
      </c>
      <c r="E26">
        <f>+(C26-C$7)/C$8</f>
        <v>23901.23466336976</v>
      </c>
      <c r="F26">
        <f>ROUND(2*E26,0)/2</f>
        <v>23901</v>
      </c>
      <c r="G26">
        <f>+C26-(C$7+F26*C$8)</f>
        <v>0.25187100000039209</v>
      </c>
      <c r="J26">
        <f>+G26</f>
        <v>0.25187100000039209</v>
      </c>
      <c r="O26">
        <f ca="1">+C$11+C$12*$F26</f>
        <v>9.243468627782743E-2</v>
      </c>
      <c r="Q26" s="2">
        <f>+C26-15018.5</f>
        <v>40368.971299999997</v>
      </c>
      <c r="S26">
        <f ca="1">(O26-G26)^2</f>
        <v>2.5419938133440064E-2</v>
      </c>
    </row>
    <row r="27" spans="1:21" x14ac:dyDescent="0.2">
      <c r="A27" s="37" t="s">
        <v>49</v>
      </c>
      <c r="B27" s="37"/>
      <c r="C27" s="33">
        <v>55409.455600000001</v>
      </c>
      <c r="D27" s="33">
        <v>1E-4</v>
      </c>
      <c r="E27">
        <f>+(C27-C$7)/C$8</f>
        <v>23921.717013143225</v>
      </c>
      <c r="F27">
        <f>ROUND(2*E27,0)/2</f>
        <v>23921.5</v>
      </c>
      <c r="G27">
        <f>+C27-(C$7+F27*C$8)</f>
        <v>0.2329265000007581</v>
      </c>
      <c r="J27">
        <f>+G27</f>
        <v>0.2329265000007581</v>
      </c>
      <c r="O27">
        <f ca="1">+C$11+C$12*$F27</f>
        <v>9.2559000988688925E-2</v>
      </c>
      <c r="Q27" s="2">
        <f>+C27-15018.5</f>
        <v>40390.955600000001</v>
      </c>
      <c r="S27">
        <f ca="1">(O27-G27)^2</f>
        <v>1.9703034778903245E-2</v>
      </c>
    </row>
    <row r="28" spans="1:21" x14ac:dyDescent="0.2">
      <c r="A28" s="52" t="s">
        <v>86</v>
      </c>
      <c r="B28" s="54" t="s">
        <v>45</v>
      </c>
      <c r="C28" s="53">
        <v>55418.373200000002</v>
      </c>
      <c r="D28" s="10"/>
      <c r="E28">
        <f>+(C28-C$7)/C$8</f>
        <v>23930.025369667645</v>
      </c>
      <c r="F28">
        <f>ROUND(2*E28,0)/2</f>
        <v>23930</v>
      </c>
      <c r="O28">
        <f ca="1">+C$11+C$12*$F28</f>
        <v>9.2610546112704681E-2</v>
      </c>
      <c r="Q28" s="2">
        <f>+C28-15018.5</f>
        <v>40399.873200000002</v>
      </c>
      <c r="U28">
        <f>+C28-(C$7+F28*C$8)</f>
        <v>2.7230000006966293E-2</v>
      </c>
    </row>
    <row r="29" spans="1:21" x14ac:dyDescent="0.2">
      <c r="A29" s="37" t="s">
        <v>49</v>
      </c>
      <c r="B29" s="37"/>
      <c r="C29" s="33">
        <v>55418.511599999998</v>
      </c>
      <c r="D29" s="33">
        <v>6.9999999999999999E-4</v>
      </c>
      <c r="E29">
        <f>+(C29-C$7)/C$8</f>
        <v>23930.154314287603</v>
      </c>
      <c r="F29">
        <f>ROUND(2*E29,0)/2</f>
        <v>23930</v>
      </c>
      <c r="G29">
        <f>+C29-(C$7+F29*C$8)</f>
        <v>0.16563000000314787</v>
      </c>
      <c r="J29">
        <f>+G29</f>
        <v>0.16563000000314787</v>
      </c>
      <c r="O29">
        <f ca="1">+C$11+C$12*$F29</f>
        <v>9.2610546112704681E-2</v>
      </c>
      <c r="Q29" s="2">
        <f>+C29-15018.5</f>
        <v>40400.011599999998</v>
      </c>
      <c r="S29">
        <f ca="1">(O29-G29)^2</f>
        <v>5.3318406464585594E-3</v>
      </c>
    </row>
    <row r="30" spans="1:21" x14ac:dyDescent="0.2">
      <c r="A30" s="37" t="s">
        <v>49</v>
      </c>
      <c r="B30" s="37"/>
      <c r="C30" s="33">
        <v>55429.373200000002</v>
      </c>
      <c r="D30" s="33">
        <v>1.8E-3</v>
      </c>
      <c r="E30">
        <f>+(C30-C$7)/C$8</f>
        <v>23940.2738582485</v>
      </c>
      <c r="F30">
        <f>ROUND(2*E30,0)/2</f>
        <v>23940.5</v>
      </c>
      <c r="G30">
        <f>+C30-(C$7+F30*C$8)</f>
        <v>-0.24272449999989476</v>
      </c>
      <c r="J30">
        <f>+G30</f>
        <v>-0.24272449999989476</v>
      </c>
      <c r="O30">
        <f ca="1">+C$11+C$12*$F30</f>
        <v>9.2674219501194713E-2</v>
      </c>
      <c r="Q30" s="2">
        <f>+C30-15018.5</f>
        <v>40410.873200000002</v>
      </c>
      <c r="S30">
        <f ca="1">(O30-G30)^2</f>
        <v>0.11249230104297049</v>
      </c>
    </row>
    <row r="31" spans="1:21" x14ac:dyDescent="0.2">
      <c r="A31" s="12" t="s">
        <v>46</v>
      </c>
      <c r="B31" s="31" t="s">
        <v>45</v>
      </c>
      <c r="C31" s="14">
        <v>56136.545400000003</v>
      </c>
      <c r="D31" s="14">
        <v>2.9999999999999997E-4</v>
      </c>
      <c r="E31">
        <f>+(C31-C$7)/C$8</f>
        <v>24599.13260519375</v>
      </c>
      <c r="F31">
        <f>ROUND(2*E31,0)/2</f>
        <v>24599</v>
      </c>
      <c r="G31">
        <f>+C31-(C$7+F31*C$8)</f>
        <v>0.14232900000934023</v>
      </c>
      <c r="J31">
        <f>+G31</f>
        <v>0.14232900000934023</v>
      </c>
      <c r="O31">
        <f ca="1">+C$11+C$12*$F31</f>
        <v>9.6667450579355566E-2</v>
      </c>
      <c r="Q31" s="2">
        <f>+C31-15018.5</f>
        <v>41118.045400000003</v>
      </c>
      <c r="S31">
        <f ca="1">(O31-G31)^2</f>
        <v>2.084977096346933E-3</v>
      </c>
    </row>
    <row r="32" spans="1:21" x14ac:dyDescent="0.2">
      <c r="A32" s="14" t="s">
        <v>47</v>
      </c>
      <c r="B32" s="31" t="s">
        <v>45</v>
      </c>
      <c r="C32" s="14">
        <v>56500.472600000001</v>
      </c>
      <c r="D32" s="14">
        <v>5.0000000000000001E-4</v>
      </c>
      <c r="E32">
        <f>+(C32-C$7)/C$8</f>
        <v>24938.196582781238</v>
      </c>
      <c r="F32">
        <f>ROUND(2*E32,0)/2</f>
        <v>24938</v>
      </c>
      <c r="G32">
        <f>+C32-(C$7+F32*C$8)</f>
        <v>0.21099800000229152</v>
      </c>
      <c r="J32">
        <f>+G32</f>
        <v>0.21099800000229152</v>
      </c>
      <c r="O32">
        <f ca="1">+C$11+C$12*$F32</f>
        <v>9.8723191407748143E-2</v>
      </c>
      <c r="Q32" s="2">
        <f>+C32-15018.5</f>
        <v>41481.972600000001</v>
      </c>
      <c r="S32">
        <f ca="1">(O32-G32)^2</f>
        <v>1.2605632644941351E-2</v>
      </c>
    </row>
    <row r="33" spans="1:19" x14ac:dyDescent="0.2">
      <c r="A33" s="35" t="s">
        <v>48</v>
      </c>
      <c r="B33" s="13" t="s">
        <v>45</v>
      </c>
      <c r="C33" s="14">
        <v>56577.2958</v>
      </c>
      <c r="D33" s="36">
        <v>1.5E-3</v>
      </c>
      <c r="E33">
        <f>+(C33-C$7)/C$8</f>
        <v>25009.771281685302</v>
      </c>
      <c r="F33">
        <f>ROUND(2*E33,0)/2</f>
        <v>25010</v>
      </c>
      <c r="G33">
        <f>+C33-(C$7+F33*C$8)</f>
        <v>-0.24548999999387888</v>
      </c>
      <c r="J33">
        <f>+G33</f>
        <v>-0.24548999999387888</v>
      </c>
      <c r="O33">
        <f ca="1">+C$11+C$12*$F33</f>
        <v>9.9159808928822687E-2</v>
      </c>
      <c r="Q33" s="2">
        <f>+C33-15018.5</f>
        <v>41558.7958</v>
      </c>
      <c r="S33">
        <f ca="1">(O33-G33)^2</f>
        <v>0.11878349079045471</v>
      </c>
    </row>
    <row r="34" spans="1:19" x14ac:dyDescent="0.2">
      <c r="A34" s="35" t="s">
        <v>48</v>
      </c>
      <c r="B34" s="13" t="s">
        <v>45</v>
      </c>
      <c r="C34" s="14">
        <v>56579.3658</v>
      </c>
      <c r="D34" s="36">
        <v>8.9999999999999998E-4</v>
      </c>
      <c r="E34">
        <f>+(C34-C$7)/C$8</f>
        <v>25011.699860900062</v>
      </c>
      <c r="F34">
        <f>ROUND(2*E34,0)/2</f>
        <v>25011.5</v>
      </c>
      <c r="G34">
        <f>+C34-(C$7+F34*C$8)</f>
        <v>0.21451649999653455</v>
      </c>
      <c r="J34">
        <f>+G34</f>
        <v>0.21451649999653455</v>
      </c>
      <c r="O34">
        <f ca="1">+C$11+C$12*$F34</f>
        <v>9.9168905127178422E-2</v>
      </c>
      <c r="Q34" s="2">
        <f>+C34-15018.5</f>
        <v>41560.8658</v>
      </c>
      <c r="S34">
        <f ca="1">(O34-G34)^2</f>
        <v>1.3305067642145112E-2</v>
      </c>
    </row>
    <row r="35" spans="1:19" x14ac:dyDescent="0.2">
      <c r="A35" s="34" t="s">
        <v>50</v>
      </c>
      <c r="B35" s="32" t="s">
        <v>45</v>
      </c>
      <c r="C35" s="34">
        <v>56897.515299999999</v>
      </c>
      <c r="D35" s="34">
        <v>3.5000000000000001E-3</v>
      </c>
      <c r="E35">
        <f>+(C35-C$7)/C$8</f>
        <v>25308.113635241385</v>
      </c>
      <c r="F35">
        <f>ROUND(2*E35,0)/2</f>
        <v>25308</v>
      </c>
      <c r="G35">
        <f>+C35-(C$7+F35*C$8)</f>
        <v>0.12196799999946961</v>
      </c>
      <c r="J35">
        <f>+G35</f>
        <v>0.12196799999946961</v>
      </c>
      <c r="O35">
        <f ca="1">+C$11+C$12*$F35</f>
        <v>0.1009669203354923</v>
      </c>
      <c r="Q35" s="2">
        <f>+C35-15018.5</f>
        <v>41879.015299999999</v>
      </c>
      <c r="S35">
        <f ca="1">(O35-G35)^2</f>
        <v>4.4104534705272129E-4</v>
      </c>
    </row>
    <row r="36" spans="1:19" x14ac:dyDescent="0.2">
      <c r="A36" s="34" t="s">
        <v>51</v>
      </c>
      <c r="B36" s="38"/>
      <c r="C36" s="34">
        <v>56908.378199999999</v>
      </c>
      <c r="D36" s="34">
        <v>4.0000000000000001E-3</v>
      </c>
      <c r="E36">
        <f>+(C36-C$7)/C$8</f>
        <v>25318.23439038729</v>
      </c>
      <c r="F36">
        <f>ROUND(2*E36,0)/2</f>
        <v>25318</v>
      </c>
      <c r="G36">
        <f>+C36-(C$7+F36*C$8)</f>
        <v>0.25157800000306452</v>
      </c>
      <c r="J36">
        <f>+G36</f>
        <v>0.25157800000306452</v>
      </c>
      <c r="O36">
        <f ca="1">+C$11+C$12*$F36</f>
        <v>0.10102756165786377</v>
      </c>
      <c r="Q36" s="2">
        <f>+C36-15018.5</f>
        <v>41889.878199999999</v>
      </c>
      <c r="S36">
        <f ca="1">(O36-G36)^2</f>
        <v>2.2665434485932098E-2</v>
      </c>
    </row>
    <row r="37" spans="1:19" x14ac:dyDescent="0.2">
      <c r="A37" s="34" t="s">
        <v>51</v>
      </c>
      <c r="B37" s="38"/>
      <c r="C37" s="34">
        <v>56918.462699999996</v>
      </c>
      <c r="D37" s="34">
        <v>1E-4</v>
      </c>
      <c r="E37">
        <f>+(C37-C$7)/C$8</f>
        <v>25327.629925213983</v>
      </c>
      <c r="F37">
        <f>ROUND(2*E37,0)/2</f>
        <v>25327.5</v>
      </c>
      <c r="G37">
        <f>+C37-(C$7+F37*C$8)</f>
        <v>0.13945249999960652</v>
      </c>
      <c r="J37">
        <f>+G37</f>
        <v>0.13945249999960652</v>
      </c>
      <c r="O37">
        <f ca="1">+C$11+C$12*$F37</f>
        <v>0.10108517091411663</v>
      </c>
      <c r="Q37" s="2">
        <f>+C37-15018.5</f>
        <v>41899.962699999996</v>
      </c>
      <c r="S37">
        <f ca="1">(O37-G37)^2</f>
        <v>1.472051941154278E-3</v>
      </c>
    </row>
    <row r="38" spans="1:19" ht="15" customHeight="1" x14ac:dyDescent="0.2">
      <c r="A38" s="63" t="s">
        <v>145</v>
      </c>
      <c r="B38" s="64" t="s">
        <v>45</v>
      </c>
      <c r="C38" s="65">
        <v>56918.462699999996</v>
      </c>
      <c r="D38" s="63">
        <v>3.5000000000000001E-3</v>
      </c>
      <c r="E38">
        <f>+(C38-C$7)/C$8</f>
        <v>25327.629925213983</v>
      </c>
      <c r="F38">
        <f>ROUND(2*E38,0)/2</f>
        <v>25327.5</v>
      </c>
      <c r="G38">
        <f>+C38-(C$7+F38*C$8)</f>
        <v>0.13945249999960652</v>
      </c>
      <c r="K38">
        <f>+G38</f>
        <v>0.13945249999960652</v>
      </c>
      <c r="O38">
        <f ca="1">+C$11+C$12*$F38</f>
        <v>0.10108517091411663</v>
      </c>
      <c r="Q38" s="2">
        <f>+C38-15018.5</f>
        <v>41899.962699999996</v>
      </c>
      <c r="S38">
        <f ca="1">(O38-G38)^2</f>
        <v>1.472051941154278E-3</v>
      </c>
    </row>
    <row r="39" spans="1:19" x14ac:dyDescent="0.2">
      <c r="A39" s="55" t="s">
        <v>144</v>
      </c>
      <c r="B39" s="56"/>
      <c r="C39" s="55">
        <v>57258.339</v>
      </c>
      <c r="D39" s="55">
        <v>3.0000000000000001E-3</v>
      </c>
      <c r="E39">
        <f>+(C39-C$7)/C$8</f>
        <v>25644.286141527904</v>
      </c>
      <c r="F39">
        <f>ROUND(2*E39,0)/2</f>
        <v>25644.5</v>
      </c>
      <c r="G39">
        <f>+C39-(C$7+F39*C$8)</f>
        <v>-0.22954049999680137</v>
      </c>
      <c r="J39">
        <f>+G39</f>
        <v>-0.22954049999680137</v>
      </c>
      <c r="O39">
        <f ca="1">+C$11+C$12*$F39</f>
        <v>0.10300750083329203</v>
      </c>
      <c r="Q39" s="2">
        <f>+C39-15018.5</f>
        <v>42239.839</v>
      </c>
      <c r="S39">
        <f ca="1">(O39-G39)^2</f>
        <v>0.11058817285609179</v>
      </c>
    </row>
    <row r="40" spans="1:19" x14ac:dyDescent="0.2">
      <c r="A40" s="57" t="s">
        <v>0</v>
      </c>
      <c r="B40" s="58" t="s">
        <v>45</v>
      </c>
      <c r="C40" s="59">
        <v>57893.598700000002</v>
      </c>
      <c r="D40" s="59">
        <v>1E-4</v>
      </c>
      <c r="E40">
        <f>+(C40-C$7)/C$8</f>
        <v>26236.145394375821</v>
      </c>
      <c r="F40">
        <f>ROUND(2*E40,0)/2</f>
        <v>26236</v>
      </c>
      <c r="G40">
        <f>+C40-(C$7+F40*C$8)</f>
        <v>0.15605600000708364</v>
      </c>
      <c r="K40">
        <f>+G40</f>
        <v>0.15605600000708364</v>
      </c>
      <c r="O40">
        <f ca="1">+C$11+C$12*$F40</f>
        <v>0.10659443505156406</v>
      </c>
      <c r="Q40" s="2">
        <f>+C40-15018.5</f>
        <v>42875.098700000002</v>
      </c>
      <c r="S40">
        <f ca="1">(O40-G40)^2</f>
        <v>2.4464464078490828E-3</v>
      </c>
    </row>
    <row r="41" spans="1:19" x14ac:dyDescent="0.2">
      <c r="A41" s="57" t="s">
        <v>0</v>
      </c>
      <c r="B41" s="58" t="s">
        <v>45</v>
      </c>
      <c r="C41" s="59">
        <v>57899.549400000004</v>
      </c>
      <c r="D41" s="59">
        <v>4.0000000000000002E-4</v>
      </c>
      <c r="E41">
        <f>+(C41-C$7)/C$8</f>
        <v>26241.68954719383</v>
      </c>
      <c r="F41">
        <f>ROUND(2*E41,0)/2</f>
        <v>26241.5</v>
      </c>
      <c r="G41">
        <f>+C41-(C$7+F41*C$8)</f>
        <v>0.20344650000333786</v>
      </c>
      <c r="K41">
        <f>+G41</f>
        <v>0.20344650000333786</v>
      </c>
      <c r="O41">
        <f ca="1">+C$11+C$12*$F41</f>
        <v>0.10662778777886837</v>
      </c>
      <c r="Q41" s="2">
        <f>+C41-15018.5</f>
        <v>42881.049400000004</v>
      </c>
      <c r="S41">
        <f ca="1">(O41-G41)^2</f>
        <v>9.3738630368046371E-3</v>
      </c>
    </row>
    <row r="42" spans="1:19" x14ac:dyDescent="0.2">
      <c r="A42" s="57" t="s">
        <v>0</v>
      </c>
      <c r="B42" s="58" t="s">
        <v>45</v>
      </c>
      <c r="C42" s="59">
        <v>57907.566700000003</v>
      </c>
      <c r="D42" s="59">
        <v>2.0000000000000001E-4</v>
      </c>
      <c r="E42">
        <f>+(C42-C$7)/C$8</f>
        <v>26249.159111511945</v>
      </c>
      <c r="F42">
        <f>ROUND(2*E42,0)/2</f>
        <v>26249</v>
      </c>
      <c r="G42">
        <f>+C42-(C$7+F42*C$8)</f>
        <v>0.17077900000003865</v>
      </c>
      <c r="K42">
        <f>+G42</f>
        <v>0.17077900000003865</v>
      </c>
      <c r="O42">
        <f ca="1">+C$11+C$12*$F42</f>
        <v>0.10667326877064696</v>
      </c>
      <c r="Q42" s="2">
        <f>+C42-15018.5</f>
        <v>42889.066700000003</v>
      </c>
      <c r="S42">
        <f ca="1">(O42-G42)^2</f>
        <v>4.1095447764550042E-3</v>
      </c>
    </row>
    <row r="43" spans="1:19" x14ac:dyDescent="0.2">
      <c r="A43" s="57" t="s">
        <v>0</v>
      </c>
      <c r="B43" s="58" t="s">
        <v>45</v>
      </c>
      <c r="C43" s="59">
        <v>57921.533600000002</v>
      </c>
      <c r="D43" s="59">
        <v>2.0000000000000001E-4</v>
      </c>
      <c r="E43">
        <f>+(C43-C$7)/C$8</f>
        <v>26262.17180379921</v>
      </c>
      <c r="F43">
        <f>ROUND(2*E43,0)/2</f>
        <v>26262</v>
      </c>
      <c r="G43">
        <f>+C43-(C$7+F43*C$8)</f>
        <v>0.18440200000623008</v>
      </c>
      <c r="K43">
        <f>+G43</f>
        <v>0.18440200000623008</v>
      </c>
      <c r="O43">
        <f ca="1">+C$11+C$12*$F43</f>
        <v>0.10675210248972987</v>
      </c>
      <c r="Q43" s="2">
        <f>+C43-15018.5</f>
        <v>42903.033600000002</v>
      </c>
      <c r="S43">
        <f ca="1">(O43-G43)^2</f>
        <v>6.0295065843229863E-3</v>
      </c>
    </row>
    <row r="44" spans="1:19" x14ac:dyDescent="0.2">
      <c r="A44" s="57" t="s">
        <v>0</v>
      </c>
      <c r="B44" s="58" t="s">
        <v>45</v>
      </c>
      <c r="C44" s="59">
        <v>57935.501700000001</v>
      </c>
      <c r="D44" s="59">
        <v>1E-4</v>
      </c>
      <c r="E44">
        <f>+(C44-C$7)/C$8</f>
        <v>26275.185614103415</v>
      </c>
      <c r="F44">
        <f>ROUND(2*E44,0)/2</f>
        <v>26275</v>
      </c>
      <c r="G44">
        <f>+C44-(C$7+F44*C$8)</f>
        <v>0.19922500000393484</v>
      </c>
      <c r="K44">
        <f>+G44</f>
        <v>0.19922500000393484</v>
      </c>
      <c r="O44">
        <f ca="1">+C$11+C$12*$F44</f>
        <v>0.10683093620881277</v>
      </c>
      <c r="Q44" s="2">
        <f>+C44-15018.5</f>
        <v>42917.001700000001</v>
      </c>
      <c r="S44">
        <f ca="1">(O44-G44)^2</f>
        <v>8.536663024577085E-3</v>
      </c>
    </row>
    <row r="45" spans="1:19" x14ac:dyDescent="0.2">
      <c r="A45" s="57" t="s">
        <v>0</v>
      </c>
      <c r="B45" s="58" t="s">
        <v>45</v>
      </c>
      <c r="C45" s="59">
        <v>57949.468500000003</v>
      </c>
      <c r="D45" s="59">
        <v>2.0000000000000001E-4</v>
      </c>
      <c r="E45">
        <f>+(C45-C$7)/C$8</f>
        <v>26288.198213222604</v>
      </c>
      <c r="F45">
        <f>ROUND(2*E45,0)/2</f>
        <v>26288</v>
      </c>
      <c r="G45">
        <f>+C45-(C$7+F45*C$8)</f>
        <v>0.21274800000537653</v>
      </c>
      <c r="K45">
        <f>+G45</f>
        <v>0.21274800000537653</v>
      </c>
      <c r="O45">
        <f ca="1">+C$11+C$12*$F45</f>
        <v>0.10690976992789568</v>
      </c>
      <c r="Q45" s="2">
        <f>+C45-15018.5</f>
        <v>42930.968500000003</v>
      </c>
      <c r="S45">
        <f ca="1">(O45-G45)^2</f>
        <v>1.1201730945933771E-2</v>
      </c>
    </row>
    <row r="46" spans="1:19" x14ac:dyDescent="0.2">
      <c r="A46" s="57" t="s">
        <v>0</v>
      </c>
      <c r="B46" s="58" t="s">
        <v>45</v>
      </c>
      <c r="C46" s="59">
        <v>57950.502999999997</v>
      </c>
      <c r="D46" s="59">
        <v>2.0000000000000001E-4</v>
      </c>
      <c r="E46">
        <f>+(C46-C$7)/C$8</f>
        <v>26289.16203698959</v>
      </c>
      <c r="F46">
        <f>ROUND(2*E46,0)/2</f>
        <v>26289</v>
      </c>
      <c r="G46">
        <f>+C46-(C$7+F46*C$8)</f>
        <v>0.17391899999347515</v>
      </c>
      <c r="K46">
        <f>+G46</f>
        <v>0.17391899999347515</v>
      </c>
      <c r="O46">
        <f ca="1">+C$11+C$12*$F46</f>
        <v>0.10691583406013282</v>
      </c>
      <c r="Q46" s="2">
        <f>+C46-15018.5</f>
        <v>42932.002999999997</v>
      </c>
      <c r="S46">
        <f ca="1">(O46-G46)^2</f>
        <v>4.4894242450910071E-3</v>
      </c>
    </row>
    <row r="47" spans="1:19" x14ac:dyDescent="0.2">
      <c r="A47" s="57" t="s">
        <v>0</v>
      </c>
      <c r="B47" s="58" t="s">
        <v>45</v>
      </c>
      <c r="C47" s="59">
        <v>57978.438000000002</v>
      </c>
      <c r="D47" s="59">
        <v>2.0000000000000001E-4</v>
      </c>
      <c r="E47">
        <f>+(C47-C$7)/C$8</f>
        <v>26315.188539581064</v>
      </c>
      <c r="F47">
        <f>ROUND(2*E47,0)/2</f>
        <v>26315</v>
      </c>
      <c r="G47">
        <f>+C47-(C$7+F47*C$8)</f>
        <v>0.2023650000046473</v>
      </c>
      <c r="K47">
        <f>+G47</f>
        <v>0.2023650000046473</v>
      </c>
      <c r="O47">
        <f ca="1">+C$11+C$12*$F47</f>
        <v>0.10707350149829863</v>
      </c>
      <c r="Q47" s="2">
        <f>+C47-15018.5</f>
        <v>42959.938000000002</v>
      </c>
      <c r="S47">
        <f ca="1">(O47-G47)^2</f>
        <v>9.0804696875854511E-3</v>
      </c>
    </row>
    <row r="48" spans="1:19" x14ac:dyDescent="0.2">
      <c r="A48" s="63" t="s">
        <v>145</v>
      </c>
      <c r="B48" s="64" t="s">
        <v>143</v>
      </c>
      <c r="C48" s="65">
        <v>58043.361599999997</v>
      </c>
      <c r="D48" s="63">
        <v>3.5000000000000001E-3</v>
      </c>
      <c r="E48">
        <f>+(C48-C$7)/C$8</f>
        <v>26375.67660987451</v>
      </c>
      <c r="F48">
        <f>ROUND(2*E48,0)/2</f>
        <v>26375.5</v>
      </c>
      <c r="G48">
        <f>+C48-(C$7+F48*C$8)</f>
        <v>0.18956049999542302</v>
      </c>
      <c r="K48">
        <f>+G48</f>
        <v>0.18956049999542302</v>
      </c>
      <c r="O48">
        <f ca="1">+C$11+C$12*$F48</f>
        <v>0.10744038149864597</v>
      </c>
      <c r="Q48" s="2">
        <f>+C48-15018.5</f>
        <v>43024.861599999997</v>
      </c>
      <c r="S48">
        <f ca="1">(O48-G48)^2</f>
        <v>6.7437138619247028E-3</v>
      </c>
    </row>
    <row r="49" spans="1:19" x14ac:dyDescent="0.2">
      <c r="A49" s="63" t="s">
        <v>145</v>
      </c>
      <c r="B49" s="64" t="s">
        <v>45</v>
      </c>
      <c r="C49" s="65">
        <v>59069.4545</v>
      </c>
      <c r="D49" s="63">
        <v>3.5000000000000001E-3</v>
      </c>
      <c r="E49">
        <f>+(C49-C$7)/C$8</f>
        <v>27331.667643378685</v>
      </c>
      <c r="F49">
        <f>ROUND(2*E49,0)/2</f>
        <v>27331.5</v>
      </c>
      <c r="G49">
        <f>+C49-(C$7+F49*C$8)</f>
        <v>0.17993649999698391</v>
      </c>
      <c r="K49">
        <f>+G49</f>
        <v>0.17993649999698391</v>
      </c>
      <c r="O49">
        <f ca="1">+C$11+C$12*$F49</f>
        <v>0.11323769191735784</v>
      </c>
      <c r="Q49" s="2">
        <f>+C49-15018.5</f>
        <v>44050.9545</v>
      </c>
      <c r="S49">
        <f ca="1">(O49-G49)^2</f>
        <v>4.4487309992427915E-3</v>
      </c>
    </row>
    <row r="50" spans="1:19" x14ac:dyDescent="0.2">
      <c r="A50" s="63" t="s">
        <v>145</v>
      </c>
      <c r="B50" s="64" t="s">
        <v>45</v>
      </c>
      <c r="C50" s="65">
        <v>59071.523300000001</v>
      </c>
      <c r="D50" s="63">
        <v>3.5000000000000001E-3</v>
      </c>
      <c r="E50">
        <f>+(C50-C$7)/C$8</f>
        <v>27333.59510457651</v>
      </c>
      <c r="F50">
        <f>ROUND(2*E50,0)/2</f>
        <v>27333.5</v>
      </c>
      <c r="G50">
        <f>+C50-(C$7+F50*C$8)</f>
        <v>0.10207850000006147</v>
      </c>
      <c r="K50">
        <f>+G50</f>
        <v>0.10207850000006147</v>
      </c>
      <c r="O50">
        <f ca="1">+C$11+C$12*$F50</f>
        <v>0.11324982018183215</v>
      </c>
      <c r="Q50" s="2">
        <f>+C50-15018.5</f>
        <v>44053.023300000001</v>
      </c>
      <c r="S50">
        <f ca="1">(O50-G50)^2</f>
        <v>1.247983946036369E-4</v>
      </c>
    </row>
    <row r="51" spans="1:19" x14ac:dyDescent="0.2">
      <c r="A51" s="63" t="s">
        <v>145</v>
      </c>
      <c r="B51" s="64" t="s">
        <v>45</v>
      </c>
      <c r="C51" s="65">
        <v>59372.599000000002</v>
      </c>
      <c r="D51" s="63">
        <v>3.5000000000000001E-3</v>
      </c>
      <c r="E51">
        <f>+(C51-C$7)/C$8</f>
        <v>27614.101547614948</v>
      </c>
      <c r="F51">
        <f>ROUND(2*E51,0)/2</f>
        <v>27614</v>
      </c>
      <c r="G51">
        <f>+C51-(C$7+F51*C$8)</f>
        <v>0.10899400000926107</v>
      </c>
      <c r="K51">
        <f>+G51</f>
        <v>0.10899400000926107</v>
      </c>
      <c r="O51">
        <f ca="1">+C$11+C$12*$F51</f>
        <v>0.11495080927435168</v>
      </c>
      <c r="Q51" s="2">
        <f>+C51-15018.5</f>
        <v>44354.099000000002</v>
      </c>
      <c r="S51">
        <f ca="1">(O51-G51)^2</f>
        <v>3.5483576620669329E-5</v>
      </c>
    </row>
    <row r="52" spans="1:19" x14ac:dyDescent="0.2">
      <c r="A52" s="63" t="s">
        <v>145</v>
      </c>
      <c r="B52" s="64" t="s">
        <v>45</v>
      </c>
      <c r="C52" s="65">
        <v>59443.472300000001</v>
      </c>
      <c r="D52" s="63">
        <v>3.5000000000000001E-3</v>
      </c>
      <c r="E52">
        <f>+(C52-C$7)/C$8</f>
        <v>27680.132839045626</v>
      </c>
      <c r="F52">
        <f>ROUND(2*E52,0)/2</f>
        <v>27680</v>
      </c>
      <c r="G52">
        <f>+C52-(C$7+F52*C$8)</f>
        <v>0.14258000000700122</v>
      </c>
      <c r="K52">
        <f>+G52</f>
        <v>0.14258000000700122</v>
      </c>
      <c r="O52">
        <f ca="1">+C$11+C$12*$F52</f>
        <v>0.11535104200200334</v>
      </c>
      <c r="Q52" s="2">
        <f>+C52-15018.5</f>
        <v>44424.972300000001</v>
      </c>
      <c r="S52">
        <f ca="1">(O52-G52)^2</f>
        <v>7.4141615403793785E-4</v>
      </c>
    </row>
    <row r="53" spans="1:19" x14ac:dyDescent="0.2">
      <c r="A53" s="63" t="s">
        <v>145</v>
      </c>
      <c r="B53" s="64" t="s">
        <v>45</v>
      </c>
      <c r="C53" s="65">
        <v>59461.320399999997</v>
      </c>
      <c r="D53" s="63">
        <v>4.8999999999999998E-3</v>
      </c>
      <c r="E53">
        <f>+(C53-C$7)/C$8</f>
        <v>27696.761570776525</v>
      </c>
      <c r="F53">
        <f>ROUND(2*E53,0)/2</f>
        <v>27697</v>
      </c>
      <c r="G53">
        <f>+C53-(C$7+F53*C$8)</f>
        <v>-0.25591300000087358</v>
      </c>
      <c r="K53">
        <f>+G53</f>
        <v>-0.25591300000087358</v>
      </c>
      <c r="O53">
        <f ca="1">+C$11+C$12*$F53</f>
        <v>0.11545413225003483</v>
      </c>
      <c r="Q53" s="2">
        <f>+C53-15018.5</f>
        <v>44442.820399999997</v>
      </c>
      <c r="S53">
        <f ca="1">(O53-G53)^2</f>
        <v>0.13791354691626367</v>
      </c>
    </row>
    <row r="54" spans="1:19" x14ac:dyDescent="0.2">
      <c r="A54" s="63" t="s">
        <v>145</v>
      </c>
      <c r="B54" s="64" t="s">
        <v>45</v>
      </c>
      <c r="C54" s="65">
        <v>59470.3724</v>
      </c>
      <c r="D54" s="63">
        <v>3.5000000000000001E-3</v>
      </c>
      <c r="E54">
        <f>+(C54-C$7)/C$8</f>
        <v>27705.195145197795</v>
      </c>
      <c r="F54">
        <f>ROUND(2*E54,0)/2</f>
        <v>27705</v>
      </c>
      <c r="G54">
        <f>+C54-(C$7+F54*C$8)</f>
        <v>0.2094550000037998</v>
      </c>
      <c r="K54">
        <f>+G54</f>
        <v>0.2094550000037998</v>
      </c>
      <c r="O54">
        <f ca="1">+C$11+C$12*$F54</f>
        <v>0.11550264530793199</v>
      </c>
      <c r="Q54" s="2">
        <f>+C54-15018.5</f>
        <v>44451.8724</v>
      </c>
      <c r="S54">
        <f ca="1">(O54-G54)^2</f>
        <v>8.8270449528981536E-3</v>
      </c>
    </row>
    <row r="55" spans="1:19" x14ac:dyDescent="0.2">
      <c r="C55" s="10"/>
      <c r="D55" s="10"/>
    </row>
    <row r="56" spans="1:19" x14ac:dyDescent="0.2">
      <c r="C56" s="10"/>
      <c r="D56" s="10"/>
    </row>
    <row r="57" spans="1:19" x14ac:dyDescent="0.2">
      <c r="C57" s="10"/>
      <c r="D57" s="10"/>
    </row>
    <row r="58" spans="1:19" x14ac:dyDescent="0.2">
      <c r="C58" s="10"/>
      <c r="D58" s="10"/>
    </row>
    <row r="59" spans="1:19" x14ac:dyDescent="0.2">
      <c r="C59" s="10"/>
      <c r="D59" s="10"/>
    </row>
    <row r="60" spans="1:19" x14ac:dyDescent="0.2">
      <c r="C60" s="10"/>
      <c r="D60" s="10"/>
    </row>
    <row r="61" spans="1:19" x14ac:dyDescent="0.2">
      <c r="C61" s="10"/>
      <c r="D61" s="10"/>
    </row>
    <row r="62" spans="1:19" x14ac:dyDescent="0.2">
      <c r="C62" s="10"/>
      <c r="D62" s="10"/>
    </row>
    <row r="63" spans="1:19" x14ac:dyDescent="0.2">
      <c r="C63" s="10"/>
      <c r="D63" s="10"/>
    </row>
    <row r="64" spans="1:19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ortState xmlns:xlrd2="http://schemas.microsoft.com/office/spreadsheetml/2017/richdata2" ref="A21:U54">
    <sortCondition ref="C21:C54"/>
  </sortState>
  <phoneticPr fontId="8" type="noConversion"/>
  <hyperlinks>
    <hyperlink ref="H63833" r:id="rId1" display="http://vsolj.cetus-net.org/bulletin.html"/>
    <hyperlink ref="H63826" r:id="rId2" display="https://www.aavso.org/ejaavso"/>
    <hyperlink ref="I63833" r:id="rId3" display="http://vsolj.cetus-net.org/bulletin.html"/>
    <hyperlink ref="AQ57484" r:id="rId4" display="http://cdsbib.u-strasbg.fr/cgi-bin/cdsbib?1990RMxAA..21..381G"/>
    <hyperlink ref="H63830" r:id="rId5" display="https://www.aavso.org/ejaavso"/>
    <hyperlink ref="AP4848" r:id="rId6" display="http://cdsbib.u-strasbg.fr/cgi-bin/cdsbib?1990RMxAA..21..381G"/>
    <hyperlink ref="AP4851" r:id="rId7" display="http://cdsbib.u-strasbg.fr/cgi-bin/cdsbib?1990RMxAA..21..381G"/>
    <hyperlink ref="AP4849" r:id="rId8" display="http://cdsbib.u-strasbg.fr/cgi-bin/cdsbib?1990RMxAA..21..381G"/>
    <hyperlink ref="AP4833" r:id="rId9" display="http://cdsbib.u-strasbg.fr/cgi-bin/cdsbib?1990RMxAA..21..381G"/>
    <hyperlink ref="AQ5062" r:id="rId10" display="http://cdsbib.u-strasbg.fr/cgi-bin/cdsbib?1990RMxAA..21..381G"/>
    <hyperlink ref="AQ5066" r:id="rId11" display="http://cdsbib.u-strasbg.fr/cgi-bin/cdsbib?1990RMxAA..21..381G"/>
    <hyperlink ref="AQ64746" r:id="rId12" display="http://cdsbib.u-strasbg.fr/cgi-bin/cdsbib?1990RMxAA..21..381G"/>
    <hyperlink ref="I1954" r:id="rId13" display="http://vsolj.cetus-net.org/bulletin.html"/>
    <hyperlink ref="H1954" r:id="rId14" display="http://vsolj.cetus-net.org/bulletin.html"/>
    <hyperlink ref="AQ65407" r:id="rId15" display="http://cdsbib.u-strasbg.fr/cgi-bin/cdsbib?1990RMxAA..21..381G"/>
    <hyperlink ref="AQ65406" r:id="rId16" display="http://cdsbib.u-strasbg.fr/cgi-bin/cdsbib?1990RMxAA..21..381G"/>
    <hyperlink ref="AP3124" r:id="rId17" display="http://cdsbib.u-strasbg.fr/cgi-bin/cdsbib?1990RMxAA..21..381G"/>
    <hyperlink ref="AP3142" r:id="rId18" display="http://cdsbib.u-strasbg.fr/cgi-bin/cdsbib?1990RMxAA..21..381G"/>
    <hyperlink ref="AP3143" r:id="rId19" display="http://cdsbib.u-strasbg.fr/cgi-bin/cdsbib?1990RMxAA..21..381G"/>
    <hyperlink ref="AP313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4"/>
  <sheetViews>
    <sheetView topLeftCell="A6" workbookViewId="0">
      <selection activeCell="A24" sqref="A24:C26"/>
    </sheetView>
  </sheetViews>
  <sheetFormatPr defaultRowHeight="12.75" x14ac:dyDescent="0.2"/>
  <cols>
    <col min="1" max="1" width="19.7109375" style="10" customWidth="1"/>
    <col min="2" max="2" width="4.42578125" style="11" customWidth="1"/>
    <col min="3" max="3" width="12.7109375" style="10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0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9" t="s">
        <v>52</v>
      </c>
      <c r="I1" s="40" t="s">
        <v>53</v>
      </c>
      <c r="J1" s="41" t="s">
        <v>54</v>
      </c>
    </row>
    <row r="2" spans="1:16" x14ac:dyDescent="0.2">
      <c r="I2" s="42" t="s">
        <v>55</v>
      </c>
      <c r="J2" s="43" t="s">
        <v>56</v>
      </c>
    </row>
    <row r="3" spans="1:16" x14ac:dyDescent="0.2">
      <c r="A3" s="44" t="s">
        <v>57</v>
      </c>
      <c r="I3" s="42" t="s">
        <v>58</v>
      </c>
      <c r="J3" s="43" t="s">
        <v>59</v>
      </c>
    </row>
    <row r="4" spans="1:16" x14ac:dyDescent="0.2">
      <c r="I4" s="42" t="s">
        <v>60</v>
      </c>
      <c r="J4" s="43" t="s">
        <v>59</v>
      </c>
    </row>
    <row r="5" spans="1:16" ht="13.5" thickBot="1" x14ac:dyDescent="0.25">
      <c r="I5" s="45" t="s">
        <v>61</v>
      </c>
      <c r="J5" s="46" t="s">
        <v>62</v>
      </c>
    </row>
    <row r="10" spans="1:16" ht="13.5" thickBot="1" x14ac:dyDescent="0.25"/>
    <row r="11" spans="1:16" ht="12.75" customHeight="1" thickBot="1" x14ac:dyDescent="0.25">
      <c r="A11" s="10" t="str">
        <f t="shared" ref="A11:A26" si="0">P11</f>
        <v>BAVM 178 </v>
      </c>
      <c r="B11" s="3" t="str">
        <f t="shared" ref="B11:B26" si="1">IF(H11=INT(H11),"I","II")</f>
        <v>I</v>
      </c>
      <c r="C11" s="10">
        <f t="shared" ref="C11:C26" si="2">1*G11</f>
        <v>53672.310899999997</v>
      </c>
      <c r="D11" s="11" t="str">
        <f t="shared" ref="D11:D26" si="3">VLOOKUP(F11,I$1:J$5,2,FALSE)</f>
        <v>vis</v>
      </c>
      <c r="E11" s="47">
        <f>VLOOKUP(C11,'Active 1'!C$21:E$973,3,FALSE)</f>
        <v>46274.417431343398</v>
      </c>
      <c r="F11" s="3" t="s">
        <v>61</v>
      </c>
      <c r="G11" s="11" t="str">
        <f t="shared" ref="G11:G26" si="4">MID(I11,3,LEN(I11)-3)</f>
        <v>53672.3109</v>
      </c>
      <c r="H11" s="10">
        <f t="shared" ref="H11:H26" si="5">1*K11</f>
        <v>22303</v>
      </c>
      <c r="I11" s="48" t="s">
        <v>63</v>
      </c>
      <c r="J11" s="49" t="s">
        <v>64</v>
      </c>
      <c r="K11" s="48">
        <v>22303</v>
      </c>
      <c r="L11" s="48" t="s">
        <v>65</v>
      </c>
      <c r="M11" s="49" t="s">
        <v>66</v>
      </c>
      <c r="N11" s="49" t="s">
        <v>67</v>
      </c>
      <c r="O11" s="50" t="s">
        <v>68</v>
      </c>
      <c r="P11" s="51" t="s">
        <v>69</v>
      </c>
    </row>
    <row r="12" spans="1:16" ht="12.75" customHeight="1" thickBot="1" x14ac:dyDescent="0.25">
      <c r="A12" s="10" t="str">
        <f t="shared" si="0"/>
        <v>OEJV 137 </v>
      </c>
      <c r="B12" s="3" t="str">
        <f t="shared" si="1"/>
        <v>I</v>
      </c>
      <c r="C12" s="10">
        <f t="shared" si="2"/>
        <v>55063.371749999998</v>
      </c>
      <c r="D12" s="11" t="str">
        <f t="shared" si="3"/>
        <v>vis</v>
      </c>
      <c r="E12" s="47">
        <f>VLOOKUP(C12,'Active 1'!C$21:E$973,3,FALSE)</f>
        <v>48963.387819168369</v>
      </c>
      <c r="F12" s="3" t="s">
        <v>61</v>
      </c>
      <c r="G12" s="11" t="str">
        <f t="shared" si="4"/>
        <v>55063.37175</v>
      </c>
      <c r="H12" s="10">
        <f t="shared" si="5"/>
        <v>23599</v>
      </c>
      <c r="I12" s="48" t="s">
        <v>70</v>
      </c>
      <c r="J12" s="49" t="s">
        <v>71</v>
      </c>
      <c r="K12" s="48" t="s">
        <v>72</v>
      </c>
      <c r="L12" s="48" t="s">
        <v>73</v>
      </c>
      <c r="M12" s="49" t="s">
        <v>66</v>
      </c>
      <c r="N12" s="49" t="s">
        <v>53</v>
      </c>
      <c r="O12" s="50" t="s">
        <v>74</v>
      </c>
      <c r="P12" s="51" t="s">
        <v>75</v>
      </c>
    </row>
    <row r="13" spans="1:16" ht="12.75" customHeight="1" thickBot="1" x14ac:dyDescent="0.25">
      <c r="A13" s="10" t="str">
        <f t="shared" si="0"/>
        <v>BAVM 215 </v>
      </c>
      <c r="B13" s="3" t="str">
        <f t="shared" si="1"/>
        <v>II</v>
      </c>
      <c r="C13" s="10">
        <f t="shared" si="2"/>
        <v>55380.485800000002</v>
      </c>
      <c r="D13" s="11" t="str">
        <f t="shared" si="3"/>
        <v>vis</v>
      </c>
      <c r="E13" s="47">
        <f>VLOOKUP(C13,'Active 1'!C$21:E$973,3,FALSE)</f>
        <v>49576.380622476187</v>
      </c>
      <c r="F13" s="3" t="s">
        <v>61</v>
      </c>
      <c r="G13" s="11" t="str">
        <f t="shared" si="4"/>
        <v>55380.4858</v>
      </c>
      <c r="H13" s="10">
        <f t="shared" si="5"/>
        <v>23894.5</v>
      </c>
      <c r="I13" s="48" t="s">
        <v>81</v>
      </c>
      <c r="J13" s="49" t="s">
        <v>82</v>
      </c>
      <c r="K13" s="48" t="s">
        <v>83</v>
      </c>
      <c r="L13" s="48" t="s">
        <v>84</v>
      </c>
      <c r="M13" s="49" t="s">
        <v>66</v>
      </c>
      <c r="N13" s="49" t="s">
        <v>85</v>
      </c>
      <c r="O13" s="50" t="s">
        <v>68</v>
      </c>
      <c r="P13" s="51" t="s">
        <v>86</v>
      </c>
    </row>
    <row r="14" spans="1:16" ht="12.75" customHeight="1" thickBot="1" x14ac:dyDescent="0.25">
      <c r="A14" s="10" t="str">
        <f t="shared" si="0"/>
        <v>BAVM 215 </v>
      </c>
      <c r="B14" s="3" t="str">
        <f t="shared" si="1"/>
        <v>I</v>
      </c>
      <c r="C14" s="10">
        <f t="shared" si="2"/>
        <v>55387.471299999997</v>
      </c>
      <c r="D14" s="11" t="str">
        <f t="shared" si="3"/>
        <v>vis</v>
      </c>
      <c r="E14" s="47">
        <f>VLOOKUP(C14,'Active 1'!C$21:E$973,3,FALSE)</f>
        <v>49589.883843880292</v>
      </c>
      <c r="F14" s="3" t="s">
        <v>61</v>
      </c>
      <c r="G14" s="11" t="str">
        <f t="shared" si="4"/>
        <v>55387.4713</v>
      </c>
      <c r="H14" s="10">
        <f t="shared" si="5"/>
        <v>23901</v>
      </c>
      <c r="I14" s="48" t="s">
        <v>87</v>
      </c>
      <c r="J14" s="49" t="s">
        <v>88</v>
      </c>
      <c r="K14" s="48" t="s">
        <v>89</v>
      </c>
      <c r="L14" s="48" t="s">
        <v>90</v>
      </c>
      <c r="M14" s="49" t="s">
        <v>66</v>
      </c>
      <c r="N14" s="49" t="s">
        <v>85</v>
      </c>
      <c r="O14" s="50" t="s">
        <v>68</v>
      </c>
      <c r="P14" s="51" t="s">
        <v>86</v>
      </c>
    </row>
    <row r="15" spans="1:16" ht="12.75" customHeight="1" thickBot="1" x14ac:dyDescent="0.25">
      <c r="A15" s="10" t="str">
        <f t="shared" si="0"/>
        <v>BAVM 215 </v>
      </c>
      <c r="B15" s="3" t="str">
        <f t="shared" si="1"/>
        <v>II</v>
      </c>
      <c r="C15" s="10">
        <f t="shared" si="2"/>
        <v>55409.455600000001</v>
      </c>
      <c r="D15" s="11" t="str">
        <f t="shared" si="3"/>
        <v>vis</v>
      </c>
      <c r="E15" s="47">
        <f>VLOOKUP(C15,'Active 1'!C$21:E$973,3,FALSE)</f>
        <v>49632.380282261889</v>
      </c>
      <c r="F15" s="3" t="s">
        <v>61</v>
      </c>
      <c r="G15" s="11" t="str">
        <f t="shared" si="4"/>
        <v>55409.4556</v>
      </c>
      <c r="H15" s="10">
        <f t="shared" si="5"/>
        <v>23921.5</v>
      </c>
      <c r="I15" s="48" t="s">
        <v>91</v>
      </c>
      <c r="J15" s="49" t="s">
        <v>92</v>
      </c>
      <c r="K15" s="48" t="s">
        <v>93</v>
      </c>
      <c r="L15" s="48" t="s">
        <v>94</v>
      </c>
      <c r="M15" s="49" t="s">
        <v>66</v>
      </c>
      <c r="N15" s="49" t="s">
        <v>85</v>
      </c>
      <c r="O15" s="50" t="s">
        <v>68</v>
      </c>
      <c r="P15" s="51" t="s">
        <v>86</v>
      </c>
    </row>
    <row r="16" spans="1:16" ht="12.75" customHeight="1" thickBot="1" x14ac:dyDescent="0.25">
      <c r="A16" s="10" t="str">
        <f t="shared" si="0"/>
        <v>BAVM 215 </v>
      </c>
      <c r="B16" s="3" t="str">
        <f t="shared" si="1"/>
        <v>I</v>
      </c>
      <c r="C16" s="10">
        <f t="shared" si="2"/>
        <v>55429.373200000002</v>
      </c>
      <c r="D16" s="11" t="str">
        <f t="shared" si="3"/>
        <v>vis</v>
      </c>
      <c r="E16" s="47">
        <f>VLOOKUP(C16,'Active 1'!C$21:E$973,3,FALSE)</f>
        <v>49670.881715607917</v>
      </c>
      <c r="F16" s="3" t="s">
        <v>61</v>
      </c>
      <c r="G16" s="11" t="str">
        <f t="shared" si="4"/>
        <v>55429.3732</v>
      </c>
      <c r="H16" s="10">
        <f t="shared" si="5"/>
        <v>23940</v>
      </c>
      <c r="I16" s="48" t="s">
        <v>99</v>
      </c>
      <c r="J16" s="49" t="s">
        <v>100</v>
      </c>
      <c r="K16" s="48" t="s">
        <v>101</v>
      </c>
      <c r="L16" s="48" t="s">
        <v>102</v>
      </c>
      <c r="M16" s="49" t="s">
        <v>66</v>
      </c>
      <c r="N16" s="49" t="s">
        <v>85</v>
      </c>
      <c r="O16" s="50" t="s">
        <v>68</v>
      </c>
      <c r="P16" s="51" t="s">
        <v>86</v>
      </c>
    </row>
    <row r="17" spans="1:16" ht="12.75" customHeight="1" thickBot="1" x14ac:dyDescent="0.25">
      <c r="A17" s="10" t="str">
        <f t="shared" si="0"/>
        <v>BAVM 228 </v>
      </c>
      <c r="B17" s="3" t="str">
        <f t="shared" si="1"/>
        <v>I</v>
      </c>
      <c r="C17" s="10">
        <f t="shared" si="2"/>
        <v>56136.545400000003</v>
      </c>
      <c r="D17" s="11" t="str">
        <f t="shared" si="3"/>
        <v>vis</v>
      </c>
      <c r="E17" s="47">
        <f>VLOOKUP(C17,'Active 1'!C$21:E$973,3,FALSE)</f>
        <v>51037.870877076326</v>
      </c>
      <c r="F17" s="3" t="s">
        <v>61</v>
      </c>
      <c r="G17" s="11" t="str">
        <f t="shared" si="4"/>
        <v>56136.5454</v>
      </c>
      <c r="H17" s="10">
        <f t="shared" si="5"/>
        <v>24599</v>
      </c>
      <c r="I17" s="48" t="s">
        <v>103</v>
      </c>
      <c r="J17" s="49" t="s">
        <v>104</v>
      </c>
      <c r="K17" s="48" t="s">
        <v>105</v>
      </c>
      <c r="L17" s="48" t="s">
        <v>106</v>
      </c>
      <c r="M17" s="49" t="s">
        <v>66</v>
      </c>
      <c r="N17" s="49" t="s">
        <v>67</v>
      </c>
      <c r="O17" s="50" t="s">
        <v>68</v>
      </c>
      <c r="P17" s="51" t="s">
        <v>107</v>
      </c>
    </row>
    <row r="18" spans="1:16" ht="12.75" customHeight="1" thickBot="1" x14ac:dyDescent="0.25">
      <c r="A18" s="10" t="str">
        <f t="shared" si="0"/>
        <v>BAVM 232 </v>
      </c>
      <c r="B18" s="3" t="str">
        <f t="shared" si="1"/>
        <v>I</v>
      </c>
      <c r="C18" s="10">
        <f t="shared" si="2"/>
        <v>56500.472600000001</v>
      </c>
      <c r="D18" s="11" t="str">
        <f t="shared" si="3"/>
        <v>vis</v>
      </c>
      <c r="E18" s="47">
        <f>VLOOKUP(C18,'Active 1'!C$21:E$973,3,FALSE)</f>
        <v>51741.355174060205</v>
      </c>
      <c r="F18" s="3" t="s">
        <v>61</v>
      </c>
      <c r="G18" s="11" t="str">
        <f t="shared" si="4"/>
        <v>56500.4726</v>
      </c>
      <c r="H18" s="10">
        <f t="shared" si="5"/>
        <v>24938</v>
      </c>
      <c r="I18" s="48" t="s">
        <v>108</v>
      </c>
      <c r="J18" s="49" t="s">
        <v>109</v>
      </c>
      <c r="K18" s="48" t="s">
        <v>110</v>
      </c>
      <c r="L18" s="48" t="s">
        <v>111</v>
      </c>
      <c r="M18" s="49" t="s">
        <v>66</v>
      </c>
      <c r="N18" s="49" t="s">
        <v>67</v>
      </c>
      <c r="O18" s="50" t="s">
        <v>68</v>
      </c>
      <c r="P18" s="51" t="s">
        <v>112</v>
      </c>
    </row>
    <row r="19" spans="1:16" ht="12.75" customHeight="1" thickBot="1" x14ac:dyDescent="0.25">
      <c r="A19" s="10" t="str">
        <f t="shared" si="0"/>
        <v>BAVM 234 </v>
      </c>
      <c r="B19" s="3" t="str">
        <f t="shared" si="1"/>
        <v>II</v>
      </c>
      <c r="C19" s="10">
        <f t="shared" si="2"/>
        <v>56577.2958</v>
      </c>
      <c r="D19" s="11" t="str">
        <f t="shared" si="3"/>
        <v>vis</v>
      </c>
      <c r="E19" s="47">
        <f>VLOOKUP(C19,'Active 1'!C$21:E$973,3,FALSE)</f>
        <v>51889.857167986607</v>
      </c>
      <c r="F19" s="3" t="s">
        <v>61</v>
      </c>
      <c r="G19" s="11" t="str">
        <f t="shared" si="4"/>
        <v>56577.2958</v>
      </c>
      <c r="H19" s="10">
        <f t="shared" si="5"/>
        <v>25009.5</v>
      </c>
      <c r="I19" s="48" t="s">
        <v>113</v>
      </c>
      <c r="J19" s="49" t="s">
        <v>114</v>
      </c>
      <c r="K19" s="48" t="s">
        <v>115</v>
      </c>
      <c r="L19" s="48" t="s">
        <v>116</v>
      </c>
      <c r="M19" s="49" t="s">
        <v>66</v>
      </c>
      <c r="N19" s="49" t="s">
        <v>67</v>
      </c>
      <c r="O19" s="50" t="s">
        <v>68</v>
      </c>
      <c r="P19" s="51" t="s">
        <v>117</v>
      </c>
    </row>
    <row r="20" spans="1:16" ht="12.75" customHeight="1" thickBot="1" x14ac:dyDescent="0.25">
      <c r="A20" s="10" t="str">
        <f t="shared" si="0"/>
        <v>BAVM 234 </v>
      </c>
      <c r="B20" s="3" t="str">
        <f t="shared" si="1"/>
        <v>II</v>
      </c>
      <c r="C20" s="10">
        <f t="shared" si="2"/>
        <v>56579.3658</v>
      </c>
      <c r="D20" s="11" t="str">
        <f t="shared" si="3"/>
        <v>vis</v>
      </c>
      <c r="E20" s="47">
        <f>VLOOKUP(C20,'Active 1'!C$21:E$973,3,FALSE)</f>
        <v>51893.858552040219</v>
      </c>
      <c r="F20" s="3" t="s">
        <v>61</v>
      </c>
      <c r="G20" s="11" t="str">
        <f t="shared" si="4"/>
        <v>56579.3658</v>
      </c>
      <c r="H20" s="10">
        <f t="shared" si="5"/>
        <v>25011.5</v>
      </c>
      <c r="I20" s="48" t="s">
        <v>118</v>
      </c>
      <c r="J20" s="49" t="s">
        <v>119</v>
      </c>
      <c r="K20" s="48" t="s">
        <v>120</v>
      </c>
      <c r="L20" s="48" t="s">
        <v>121</v>
      </c>
      <c r="M20" s="49" t="s">
        <v>66</v>
      </c>
      <c r="N20" s="49" t="s">
        <v>67</v>
      </c>
      <c r="O20" s="50" t="s">
        <v>68</v>
      </c>
      <c r="P20" s="51" t="s">
        <v>117</v>
      </c>
    </row>
    <row r="21" spans="1:16" ht="12.75" customHeight="1" thickBot="1" x14ac:dyDescent="0.25">
      <c r="A21" s="10" t="str">
        <f t="shared" si="0"/>
        <v>BAVM 238 </v>
      </c>
      <c r="B21" s="3" t="str">
        <f t="shared" si="1"/>
        <v>I</v>
      </c>
      <c r="C21" s="10">
        <f t="shared" si="2"/>
        <v>56897.515299999999</v>
      </c>
      <c r="D21" s="11" t="str">
        <f t="shared" si="3"/>
        <v>vis</v>
      </c>
      <c r="E21" s="47">
        <f>VLOOKUP(C21,'Active 1'!C$21:E$973,3,FALSE)</f>
        <v>52508.85291724094</v>
      </c>
      <c r="F21" s="3" t="s">
        <v>61</v>
      </c>
      <c r="G21" s="11" t="str">
        <f t="shared" si="4"/>
        <v>56897.5153</v>
      </c>
      <c r="H21" s="10">
        <f t="shared" si="5"/>
        <v>25308</v>
      </c>
      <c r="I21" s="48" t="s">
        <v>122</v>
      </c>
      <c r="J21" s="49" t="s">
        <v>123</v>
      </c>
      <c r="K21" s="48" t="s">
        <v>124</v>
      </c>
      <c r="L21" s="48" t="s">
        <v>125</v>
      </c>
      <c r="M21" s="49" t="s">
        <v>66</v>
      </c>
      <c r="N21" s="49" t="s">
        <v>67</v>
      </c>
      <c r="O21" s="50" t="s">
        <v>126</v>
      </c>
      <c r="P21" s="51" t="s">
        <v>127</v>
      </c>
    </row>
    <row r="22" spans="1:16" ht="12.75" customHeight="1" thickBot="1" x14ac:dyDescent="0.25">
      <c r="A22" s="10" t="str">
        <f t="shared" si="0"/>
        <v>BAVM 239 </v>
      </c>
      <c r="B22" s="3" t="str">
        <f t="shared" si="1"/>
        <v>I</v>
      </c>
      <c r="C22" s="10">
        <f t="shared" si="2"/>
        <v>56908.378199999999</v>
      </c>
      <c r="D22" s="11" t="str">
        <f t="shared" si="3"/>
        <v>vis</v>
      </c>
      <c r="E22" s="47">
        <f>VLOOKUP(C22,'Active 1'!C$21:E$973,3,FALSE)</f>
        <v>52529.851291557854</v>
      </c>
      <c r="F22" s="3" t="s">
        <v>61</v>
      </c>
      <c r="G22" s="11" t="str">
        <f t="shared" si="4"/>
        <v>56908.3782</v>
      </c>
      <c r="H22" s="10">
        <f t="shared" si="5"/>
        <v>25318</v>
      </c>
      <c r="I22" s="48" t="s">
        <v>128</v>
      </c>
      <c r="J22" s="49" t="s">
        <v>129</v>
      </c>
      <c r="K22" s="48" t="s">
        <v>130</v>
      </c>
      <c r="L22" s="48" t="s">
        <v>131</v>
      </c>
      <c r="M22" s="49" t="s">
        <v>66</v>
      </c>
      <c r="N22" s="49" t="s">
        <v>67</v>
      </c>
      <c r="O22" s="50" t="s">
        <v>126</v>
      </c>
      <c r="P22" s="51" t="s">
        <v>132</v>
      </c>
    </row>
    <row r="23" spans="1:16" ht="12.75" customHeight="1" thickBot="1" x14ac:dyDescent="0.25">
      <c r="A23" s="10" t="str">
        <f t="shared" si="0"/>
        <v>BAVM 239 </v>
      </c>
      <c r="B23" s="3" t="str">
        <f t="shared" si="1"/>
        <v>II</v>
      </c>
      <c r="C23" s="10">
        <f t="shared" si="2"/>
        <v>56918.462699999996</v>
      </c>
      <c r="D23" s="11" t="str">
        <f t="shared" si="3"/>
        <v>vis</v>
      </c>
      <c r="E23" s="47">
        <f>VLOOKUP(C23,'Active 1'!C$21:E$973,3,FALSE)</f>
        <v>52549.34499082774</v>
      </c>
      <c r="F23" s="3" t="s">
        <v>61</v>
      </c>
      <c r="G23" s="11" t="str">
        <f t="shared" si="4"/>
        <v>56918.4627</v>
      </c>
      <c r="H23" s="10">
        <f t="shared" si="5"/>
        <v>25327.5</v>
      </c>
      <c r="I23" s="48" t="s">
        <v>133</v>
      </c>
      <c r="J23" s="49" t="s">
        <v>134</v>
      </c>
      <c r="K23" s="48" t="s">
        <v>135</v>
      </c>
      <c r="L23" s="48" t="s">
        <v>136</v>
      </c>
      <c r="M23" s="49" t="s">
        <v>66</v>
      </c>
      <c r="N23" s="49" t="s">
        <v>67</v>
      </c>
      <c r="O23" s="50" t="s">
        <v>68</v>
      </c>
      <c r="P23" s="51" t="s">
        <v>132</v>
      </c>
    </row>
    <row r="24" spans="1:16" ht="12.75" customHeight="1" thickBot="1" x14ac:dyDescent="0.25">
      <c r="A24" s="10" t="str">
        <f t="shared" si="0"/>
        <v>BAVM 212 </v>
      </c>
      <c r="B24" s="3" t="str">
        <f t="shared" si="1"/>
        <v>II</v>
      </c>
      <c r="C24" s="10">
        <f t="shared" si="2"/>
        <v>55074.497499999998</v>
      </c>
      <c r="D24" s="11" t="str">
        <f t="shared" si="3"/>
        <v>vis</v>
      </c>
      <c r="E24" s="47">
        <f>VLOOKUP(C24,'Active 1'!C$21:E$973,3,FALSE)</f>
        <v>48984.894291938654</v>
      </c>
      <c r="F24" s="3" t="s">
        <v>61</v>
      </c>
      <c r="G24" s="11" t="str">
        <f t="shared" si="4"/>
        <v>55074.4975</v>
      </c>
      <c r="H24" s="10">
        <f t="shared" si="5"/>
        <v>23609.5</v>
      </c>
      <c r="I24" s="48" t="s">
        <v>76</v>
      </c>
      <c r="J24" s="49" t="s">
        <v>77</v>
      </c>
      <c r="K24" s="48" t="s">
        <v>78</v>
      </c>
      <c r="L24" s="48" t="s">
        <v>79</v>
      </c>
      <c r="M24" s="49" t="s">
        <v>66</v>
      </c>
      <c r="N24" s="49" t="s">
        <v>67</v>
      </c>
      <c r="O24" s="50" t="s">
        <v>68</v>
      </c>
      <c r="P24" s="51" t="s">
        <v>80</v>
      </c>
    </row>
    <row r="25" spans="1:16" ht="12.75" customHeight="1" thickBot="1" x14ac:dyDescent="0.25">
      <c r="A25" s="10" t="str">
        <f t="shared" si="0"/>
        <v>BAVM 215 </v>
      </c>
      <c r="B25" s="3" t="str">
        <f t="shared" si="1"/>
        <v>I</v>
      </c>
      <c r="C25" s="10">
        <f t="shared" si="2"/>
        <v>55418.373200000002</v>
      </c>
      <c r="D25" s="11" t="str">
        <f t="shared" si="3"/>
        <v>vis</v>
      </c>
      <c r="E25" s="47">
        <f>VLOOKUP(C25,'Active 1'!C$21:E$973,3,FALSE)</f>
        <v>49649.618322086288</v>
      </c>
      <c r="F25" s="3" t="s">
        <v>61</v>
      </c>
      <c r="G25" s="11" t="str">
        <f t="shared" si="4"/>
        <v>55418.3732</v>
      </c>
      <c r="H25" s="10">
        <f t="shared" si="5"/>
        <v>23930</v>
      </c>
      <c r="I25" s="48" t="s">
        <v>95</v>
      </c>
      <c r="J25" s="49" t="s">
        <v>96</v>
      </c>
      <c r="K25" s="48" t="s">
        <v>97</v>
      </c>
      <c r="L25" s="48" t="s">
        <v>98</v>
      </c>
      <c r="M25" s="49" t="s">
        <v>66</v>
      </c>
      <c r="N25" s="49" t="s">
        <v>85</v>
      </c>
      <c r="O25" s="50" t="s">
        <v>68</v>
      </c>
      <c r="P25" s="51" t="s">
        <v>86</v>
      </c>
    </row>
    <row r="26" spans="1:16" ht="12.75" customHeight="1" thickBot="1" x14ac:dyDescent="0.25">
      <c r="A26" s="10" t="str">
        <f t="shared" si="0"/>
        <v>BAVM 241 (=IBVS 6157) </v>
      </c>
      <c r="B26" s="3" t="str">
        <f t="shared" si="1"/>
        <v>I</v>
      </c>
      <c r="C26" s="10">
        <f t="shared" si="2"/>
        <v>57258.339</v>
      </c>
      <c r="D26" s="11" t="str">
        <f t="shared" si="3"/>
        <v>vis</v>
      </c>
      <c r="E26" s="47">
        <f>VLOOKUP(C26,'Active 1'!C$21:E$973,3,FALSE)</f>
        <v>53206.338037698064</v>
      </c>
      <c r="F26" s="3" t="s">
        <v>61</v>
      </c>
      <c r="G26" s="11" t="str">
        <f t="shared" si="4"/>
        <v>57258.339</v>
      </c>
      <c r="H26" s="10">
        <f t="shared" si="5"/>
        <v>25644</v>
      </c>
      <c r="I26" s="48" t="s">
        <v>137</v>
      </c>
      <c r="J26" s="49" t="s">
        <v>138</v>
      </c>
      <c r="K26" s="48" t="s">
        <v>139</v>
      </c>
      <c r="L26" s="48" t="s">
        <v>140</v>
      </c>
      <c r="M26" s="49" t="s">
        <v>66</v>
      </c>
      <c r="N26" s="49" t="s">
        <v>61</v>
      </c>
      <c r="O26" s="50" t="s">
        <v>141</v>
      </c>
      <c r="P26" s="51" t="s">
        <v>142</v>
      </c>
    </row>
    <row r="27" spans="1:16" x14ac:dyDescent="0.2">
      <c r="B27" s="3"/>
      <c r="E27" s="47"/>
      <c r="F27" s="3"/>
    </row>
    <row r="28" spans="1:16" x14ac:dyDescent="0.2">
      <c r="B28" s="3"/>
      <c r="E28" s="47"/>
      <c r="F28" s="3"/>
    </row>
    <row r="29" spans="1:16" x14ac:dyDescent="0.2">
      <c r="B29" s="3"/>
      <c r="E29" s="47"/>
      <c r="F29" s="3"/>
    </row>
    <row r="30" spans="1:16" x14ac:dyDescent="0.2">
      <c r="B30" s="3"/>
      <c r="E30" s="47"/>
      <c r="F30" s="3"/>
    </row>
    <row r="31" spans="1:16" x14ac:dyDescent="0.2">
      <c r="B31" s="3"/>
      <c r="E31" s="47"/>
      <c r="F31" s="3"/>
    </row>
    <row r="32" spans="1:16" x14ac:dyDescent="0.2">
      <c r="B32" s="3"/>
      <c r="E32" s="47"/>
      <c r="F32" s="3"/>
    </row>
    <row r="33" spans="2:6" x14ac:dyDescent="0.2">
      <c r="B33" s="3"/>
      <c r="E33" s="47"/>
      <c r="F33" s="3"/>
    </row>
    <row r="34" spans="2:6" x14ac:dyDescent="0.2">
      <c r="B34" s="3"/>
      <c r="E34" s="47"/>
      <c r="F34" s="3"/>
    </row>
    <row r="35" spans="2:6" x14ac:dyDescent="0.2">
      <c r="B35" s="3"/>
      <c r="E35" s="47"/>
      <c r="F35" s="3"/>
    </row>
    <row r="36" spans="2:6" x14ac:dyDescent="0.2">
      <c r="B36" s="3"/>
      <c r="E36" s="47"/>
      <c r="F36" s="3"/>
    </row>
    <row r="37" spans="2:6" x14ac:dyDescent="0.2">
      <c r="B37" s="3"/>
      <c r="E37" s="47"/>
      <c r="F37" s="3"/>
    </row>
    <row r="38" spans="2:6" x14ac:dyDescent="0.2">
      <c r="B38" s="3"/>
      <c r="E38" s="47"/>
      <c r="F38" s="3"/>
    </row>
    <row r="39" spans="2:6" x14ac:dyDescent="0.2">
      <c r="B39" s="3"/>
      <c r="E39" s="47"/>
      <c r="F39" s="3"/>
    </row>
    <row r="40" spans="2:6" x14ac:dyDescent="0.2">
      <c r="B40" s="3"/>
      <c r="E40" s="47"/>
      <c r="F40" s="3"/>
    </row>
    <row r="41" spans="2:6" x14ac:dyDescent="0.2">
      <c r="B41" s="3"/>
      <c r="E41" s="47"/>
      <c r="F41" s="3"/>
    </row>
    <row r="42" spans="2:6" x14ac:dyDescent="0.2">
      <c r="B42" s="3"/>
      <c r="E42" s="47"/>
      <c r="F42" s="3"/>
    </row>
    <row r="43" spans="2:6" x14ac:dyDescent="0.2">
      <c r="B43" s="3"/>
      <c r="E43" s="47"/>
      <c r="F43" s="3"/>
    </row>
    <row r="44" spans="2:6" x14ac:dyDescent="0.2">
      <c r="B44" s="3"/>
      <c r="E44" s="47"/>
      <c r="F44" s="3"/>
    </row>
    <row r="45" spans="2:6" x14ac:dyDescent="0.2">
      <c r="B45" s="3"/>
      <c r="E45" s="47"/>
      <c r="F45" s="3"/>
    </row>
    <row r="46" spans="2:6" x14ac:dyDescent="0.2">
      <c r="B46" s="3"/>
      <c r="E46" s="47"/>
      <c r="F46" s="3"/>
    </row>
    <row r="47" spans="2:6" x14ac:dyDescent="0.2">
      <c r="B47" s="3"/>
      <c r="E47" s="47"/>
      <c r="F47" s="3"/>
    </row>
    <row r="48" spans="2:6" x14ac:dyDescent="0.2">
      <c r="B48" s="3"/>
      <c r="E48" s="47"/>
      <c r="F48" s="3"/>
    </row>
    <row r="49" spans="2:6" x14ac:dyDescent="0.2">
      <c r="B49" s="3"/>
      <c r="E49" s="47"/>
      <c r="F49" s="3"/>
    </row>
    <row r="50" spans="2:6" x14ac:dyDescent="0.2">
      <c r="B50" s="3"/>
      <c r="E50" s="47"/>
      <c r="F50" s="3"/>
    </row>
    <row r="51" spans="2:6" x14ac:dyDescent="0.2">
      <c r="B51" s="3"/>
      <c r="E51" s="47"/>
      <c r="F51" s="3"/>
    </row>
    <row r="52" spans="2:6" x14ac:dyDescent="0.2">
      <c r="B52" s="3"/>
      <c r="E52" s="47"/>
      <c r="F52" s="3"/>
    </row>
    <row r="53" spans="2:6" x14ac:dyDescent="0.2">
      <c r="B53" s="3"/>
      <c r="E53" s="47"/>
      <c r="F53" s="3"/>
    </row>
    <row r="54" spans="2:6" x14ac:dyDescent="0.2">
      <c r="B54" s="3"/>
      <c r="E54" s="47"/>
      <c r="F54" s="3"/>
    </row>
    <row r="55" spans="2:6" x14ac:dyDescent="0.2">
      <c r="B55" s="3"/>
      <c r="E55" s="47"/>
      <c r="F55" s="3"/>
    </row>
    <row r="56" spans="2:6" x14ac:dyDescent="0.2">
      <c r="B56" s="3"/>
      <c r="E56" s="47"/>
      <c r="F56" s="3"/>
    </row>
    <row r="57" spans="2:6" x14ac:dyDescent="0.2">
      <c r="B57" s="3"/>
      <c r="E57" s="47"/>
      <c r="F57" s="3"/>
    </row>
    <row r="58" spans="2:6" x14ac:dyDescent="0.2">
      <c r="B58" s="3"/>
      <c r="E58" s="47"/>
      <c r="F58" s="3"/>
    </row>
    <row r="59" spans="2:6" x14ac:dyDescent="0.2">
      <c r="B59" s="3"/>
      <c r="E59" s="47"/>
      <c r="F59" s="3"/>
    </row>
    <row r="60" spans="2:6" x14ac:dyDescent="0.2">
      <c r="B60" s="3"/>
      <c r="E60" s="47"/>
      <c r="F60" s="3"/>
    </row>
    <row r="61" spans="2:6" x14ac:dyDescent="0.2">
      <c r="B61" s="3"/>
      <c r="E61" s="47"/>
      <c r="F61" s="3"/>
    </row>
    <row r="62" spans="2:6" x14ac:dyDescent="0.2">
      <c r="B62" s="3"/>
      <c r="E62" s="47"/>
      <c r="F62" s="3"/>
    </row>
    <row r="63" spans="2:6" x14ac:dyDescent="0.2">
      <c r="B63" s="3"/>
      <c r="E63" s="47"/>
      <c r="F63" s="3"/>
    </row>
    <row r="64" spans="2:6" x14ac:dyDescent="0.2">
      <c r="B64" s="3"/>
      <c r="E64" s="47"/>
      <c r="F64" s="3"/>
    </row>
    <row r="65" spans="2:6" x14ac:dyDescent="0.2">
      <c r="B65" s="3"/>
      <c r="E65" s="47"/>
      <c r="F65" s="3"/>
    </row>
    <row r="66" spans="2:6" x14ac:dyDescent="0.2">
      <c r="B66" s="3"/>
      <c r="E66" s="47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</sheetData>
  <phoneticPr fontId="8" type="noConversion"/>
  <hyperlinks>
    <hyperlink ref="P11" r:id="rId1" display="http://www.bav-astro.de/sfs/BAVM_link.php?BAVMnr=178"/>
    <hyperlink ref="P12" r:id="rId2" display="http://var.astro.cz/oejv/issues/oejv137.pdf"/>
    <hyperlink ref="P24" r:id="rId3" display="http://www.bav-astro.de/sfs/BAVM_link.php?BAVMnr=212"/>
    <hyperlink ref="P13" r:id="rId4" display="http://www.bav-astro.de/sfs/BAVM_link.php?BAVMnr=215"/>
    <hyperlink ref="P14" r:id="rId5" display="http://www.bav-astro.de/sfs/BAVM_link.php?BAVMnr=215"/>
    <hyperlink ref="P15" r:id="rId6" display="http://www.bav-astro.de/sfs/BAVM_link.php?BAVMnr=215"/>
    <hyperlink ref="P25" r:id="rId7" display="http://www.bav-astro.de/sfs/BAVM_link.php?BAVMnr=215"/>
    <hyperlink ref="P16" r:id="rId8" display="http://www.bav-astro.de/sfs/BAVM_link.php?BAVMnr=215"/>
    <hyperlink ref="P17" r:id="rId9" display="http://www.bav-astro.de/sfs/BAVM_link.php?BAVMnr=228"/>
    <hyperlink ref="P18" r:id="rId10" display="http://www.bav-astro.de/sfs/BAVM_link.php?BAVMnr=232"/>
    <hyperlink ref="P19" r:id="rId11" display="http://www.bav-astro.de/sfs/BAVM_link.php?BAVMnr=234"/>
    <hyperlink ref="P20" r:id="rId12" display="http://www.bav-astro.de/sfs/BAVM_link.php?BAVMnr=234"/>
    <hyperlink ref="P21" r:id="rId13" display="http://www.bav-astro.de/sfs/BAVM_link.php?BAVMnr=238"/>
    <hyperlink ref="P22" r:id="rId14" display="http://www.bav-astro.de/sfs/BAVM_link.php?BAVMnr=239"/>
    <hyperlink ref="P23" r:id="rId15" display="http://www.bav-astro.de/sfs/BAVM_link.php?BAVMnr=239"/>
    <hyperlink ref="P26" r:id="rId16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2023-01-19T03:29:32Z</dcterms:modified>
</cp:coreProperties>
</file>