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907FC2D-B0A4-4A11-9FC0-E1514D1F3CF0}" xr6:coauthVersionLast="47" xr6:coauthVersionMax="47" xr10:uidLastSave="{00000000-0000-0000-0000-000000000000}"/>
  <bookViews>
    <workbookView xWindow="13650" yWindow="585" windowWidth="12630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1" i="1" l="1"/>
  <c r="F81" i="1" s="1"/>
  <c r="G81" i="1" s="1"/>
  <c r="M81" i="1" s="1"/>
  <c r="Q81" i="1"/>
  <c r="E82" i="1"/>
  <c r="F82" i="1" s="1"/>
  <c r="G82" i="1" s="1"/>
  <c r="M82" i="1" s="1"/>
  <c r="Q82" i="1"/>
  <c r="E83" i="1"/>
  <c r="F83" i="1"/>
  <c r="G83" i="1"/>
  <c r="M83" i="1" s="1"/>
  <c r="Q83" i="1"/>
  <c r="E84" i="1"/>
  <c r="F84" i="1" s="1"/>
  <c r="G84" i="1" s="1"/>
  <c r="M84" i="1" s="1"/>
  <c r="Q84" i="1"/>
  <c r="E85" i="1"/>
  <c r="F85" i="1" s="1"/>
  <c r="G85" i="1" s="1"/>
  <c r="M85" i="1" s="1"/>
  <c r="Q85" i="1"/>
  <c r="D9" i="1"/>
  <c r="C9" i="1"/>
  <c r="F16" i="1"/>
  <c r="F17" i="1" s="1"/>
  <c r="F73" i="1"/>
  <c r="Q76" i="1"/>
  <c r="C7" i="1"/>
  <c r="E80" i="1"/>
  <c r="F80" i="1"/>
  <c r="C8" i="1"/>
  <c r="E23" i="1"/>
  <c r="F23" i="1"/>
  <c r="G23" i="1"/>
  <c r="M23" i="1"/>
  <c r="E26" i="1"/>
  <c r="F26" i="1"/>
  <c r="E28" i="1"/>
  <c r="F28" i="1"/>
  <c r="G28" i="1"/>
  <c r="M28" i="1"/>
  <c r="E29" i="1"/>
  <c r="F29" i="1"/>
  <c r="E31" i="1"/>
  <c r="F31" i="1"/>
  <c r="G31" i="1"/>
  <c r="M31" i="1"/>
  <c r="E34" i="1"/>
  <c r="F34" i="1"/>
  <c r="E36" i="1"/>
  <c r="F36" i="1"/>
  <c r="G36" i="1"/>
  <c r="M36" i="1"/>
  <c r="E37" i="1"/>
  <c r="F37" i="1"/>
  <c r="E39" i="1"/>
  <c r="F39" i="1"/>
  <c r="G39" i="1"/>
  <c r="M39" i="1"/>
  <c r="E42" i="1"/>
  <c r="F42" i="1"/>
  <c r="E44" i="1"/>
  <c r="F44" i="1"/>
  <c r="G44" i="1"/>
  <c r="M44" i="1"/>
  <c r="E45" i="1"/>
  <c r="F45" i="1"/>
  <c r="E46" i="1"/>
  <c r="F46" i="1"/>
  <c r="G46" i="1"/>
  <c r="M46" i="1"/>
  <c r="E47" i="1"/>
  <c r="F47" i="1"/>
  <c r="G47" i="1"/>
  <c r="M47" i="1"/>
  <c r="E48" i="1"/>
  <c r="F48" i="1"/>
  <c r="G48" i="1"/>
  <c r="M48" i="1"/>
  <c r="E56" i="1"/>
  <c r="F56" i="1"/>
  <c r="G56" i="1"/>
  <c r="E57" i="1"/>
  <c r="F57" i="1"/>
  <c r="G57" i="1"/>
  <c r="M57" i="1"/>
  <c r="E58" i="1"/>
  <c r="F58" i="1"/>
  <c r="G58" i="1"/>
  <c r="M58" i="1"/>
  <c r="E60" i="1"/>
  <c r="F60" i="1"/>
  <c r="G60" i="1"/>
  <c r="M60" i="1"/>
  <c r="E64" i="1"/>
  <c r="F64" i="1"/>
  <c r="G64" i="1"/>
  <c r="M64" i="1"/>
  <c r="E74" i="1"/>
  <c r="F74" i="1"/>
  <c r="G74" i="1"/>
  <c r="M74" i="1"/>
  <c r="E76" i="1"/>
  <c r="F76" i="1"/>
  <c r="G76" i="1"/>
  <c r="M76" i="1"/>
  <c r="C49" i="1"/>
  <c r="E49" i="1"/>
  <c r="F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H53" i="1"/>
  <c r="E54" i="1"/>
  <c r="F54" i="1"/>
  <c r="G54" i="1"/>
  <c r="I54" i="1"/>
  <c r="C55" i="1"/>
  <c r="E55" i="1"/>
  <c r="F55" i="1"/>
  <c r="G55" i="1"/>
  <c r="I55" i="1"/>
  <c r="E61" i="1"/>
  <c r="F61" i="1"/>
  <c r="G61" i="1"/>
  <c r="I61" i="1"/>
  <c r="E62" i="1"/>
  <c r="F62" i="1"/>
  <c r="G62" i="1"/>
  <c r="J62" i="1"/>
  <c r="E63" i="1"/>
  <c r="F63" i="1"/>
  <c r="G63" i="1"/>
  <c r="E65" i="1"/>
  <c r="F65" i="1"/>
  <c r="G65" i="1"/>
  <c r="K65" i="1"/>
  <c r="E66" i="1"/>
  <c r="F66" i="1"/>
  <c r="G66" i="1"/>
  <c r="J66" i="1"/>
  <c r="E67" i="1"/>
  <c r="F67" i="1"/>
  <c r="G67" i="1"/>
  <c r="K67" i="1"/>
  <c r="E68" i="1"/>
  <c r="F68" i="1"/>
  <c r="G68" i="1"/>
  <c r="K68" i="1"/>
  <c r="E69" i="1"/>
  <c r="F69" i="1"/>
  <c r="G69" i="1"/>
  <c r="K69" i="1"/>
  <c r="E70" i="1"/>
  <c r="F70" i="1"/>
  <c r="G70" i="1"/>
  <c r="L70" i="1"/>
  <c r="E71" i="1"/>
  <c r="F71" i="1"/>
  <c r="G71" i="1"/>
  <c r="L71" i="1"/>
  <c r="E72" i="1"/>
  <c r="F72" i="1"/>
  <c r="G72" i="1"/>
  <c r="L72" i="1"/>
  <c r="E73" i="1"/>
  <c r="G73" i="1"/>
  <c r="E75" i="1"/>
  <c r="F75" i="1"/>
  <c r="G75" i="1"/>
  <c r="K75" i="1"/>
  <c r="E77" i="1"/>
  <c r="F77" i="1"/>
  <c r="G77" i="1"/>
  <c r="L77" i="1"/>
  <c r="E78" i="1"/>
  <c r="F78" i="1"/>
  <c r="G78" i="1"/>
  <c r="K78" i="1"/>
  <c r="E79" i="1"/>
  <c r="F79" i="1"/>
  <c r="G79" i="1"/>
  <c r="K79" i="1"/>
  <c r="E59" i="1"/>
  <c r="F59" i="1"/>
  <c r="G11" i="1"/>
  <c r="F11" i="1"/>
  <c r="Q74" i="1"/>
  <c r="Q64" i="1"/>
  <c r="Q60" i="1"/>
  <c r="Q58" i="1"/>
  <c r="Q57" i="1"/>
  <c r="Q56" i="1"/>
  <c r="M56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80" i="1"/>
  <c r="G15" i="2"/>
  <c r="C15" i="2"/>
  <c r="E15" i="2"/>
  <c r="G27" i="2"/>
  <c r="C27" i="2"/>
  <c r="E27" i="2"/>
  <c r="G26" i="2"/>
  <c r="C26" i="2"/>
  <c r="E26" i="2"/>
  <c r="G25" i="2"/>
  <c r="C25" i="2"/>
  <c r="E25" i="2"/>
  <c r="G66" i="2"/>
  <c r="C66" i="2"/>
  <c r="E66" i="2"/>
  <c r="G24" i="2"/>
  <c r="C24" i="2"/>
  <c r="E24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60" i="2"/>
  <c r="C60" i="2"/>
  <c r="E60" i="2"/>
  <c r="G18" i="2"/>
  <c r="C18" i="2"/>
  <c r="E18" i="2"/>
  <c r="G17" i="2"/>
  <c r="C17" i="2"/>
  <c r="E17" i="2"/>
  <c r="G16" i="2"/>
  <c r="C16" i="2"/>
  <c r="E16" i="2"/>
  <c r="G59" i="2"/>
  <c r="C59" i="2"/>
  <c r="E59" i="2"/>
  <c r="G58" i="2"/>
  <c r="C58" i="2"/>
  <c r="E58" i="2"/>
  <c r="G57" i="2"/>
  <c r="C57" i="2"/>
  <c r="E57" i="2"/>
  <c r="G56" i="2"/>
  <c r="C56" i="2"/>
  <c r="E56" i="2"/>
  <c r="G14" i="2"/>
  <c r="C14" i="2"/>
  <c r="E14" i="2"/>
  <c r="G13" i="2"/>
  <c r="C13" i="2"/>
  <c r="E13" i="2"/>
  <c r="G12" i="2"/>
  <c r="C12" i="2"/>
  <c r="E12" i="2"/>
  <c r="G11" i="2"/>
  <c r="C11" i="2"/>
  <c r="E11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G49" i="2"/>
  <c r="C49" i="2"/>
  <c r="E49" i="2"/>
  <c r="G48" i="2"/>
  <c r="C48" i="2"/>
  <c r="G47" i="2"/>
  <c r="C47" i="2"/>
  <c r="G46" i="2"/>
  <c r="C46" i="2"/>
  <c r="E46" i="2"/>
  <c r="G45" i="2"/>
  <c r="C45" i="2"/>
  <c r="G44" i="2"/>
  <c r="C44" i="2"/>
  <c r="E44" i="2"/>
  <c r="G43" i="2"/>
  <c r="C43" i="2"/>
  <c r="E43" i="2"/>
  <c r="G42" i="2"/>
  <c r="C42" i="2"/>
  <c r="G41" i="2"/>
  <c r="C41" i="2"/>
  <c r="E41" i="2"/>
  <c r="G40" i="2"/>
  <c r="C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34" i="2"/>
  <c r="C34" i="2"/>
  <c r="G33" i="2"/>
  <c r="C33" i="2"/>
  <c r="E33" i="2"/>
  <c r="G32" i="2"/>
  <c r="C32" i="2"/>
  <c r="G31" i="2"/>
  <c r="C31" i="2"/>
  <c r="G30" i="2"/>
  <c r="C30" i="2"/>
  <c r="E30" i="2"/>
  <c r="G29" i="2"/>
  <c r="C29" i="2"/>
  <c r="G28" i="2"/>
  <c r="C28" i="2"/>
  <c r="H15" i="2"/>
  <c r="B15" i="2"/>
  <c r="D15" i="2"/>
  <c r="A15" i="2"/>
  <c r="H27" i="2"/>
  <c r="B27" i="2"/>
  <c r="D27" i="2"/>
  <c r="A27" i="2"/>
  <c r="H26" i="2"/>
  <c r="B26" i="2"/>
  <c r="D26" i="2"/>
  <c r="A26" i="2"/>
  <c r="H25" i="2"/>
  <c r="B25" i="2"/>
  <c r="D25" i="2"/>
  <c r="A25" i="2"/>
  <c r="H66" i="2"/>
  <c r="B66" i="2"/>
  <c r="D66" i="2"/>
  <c r="A66" i="2"/>
  <c r="H24" i="2"/>
  <c r="B24" i="2"/>
  <c r="D24" i="2"/>
  <c r="A24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60" i="2"/>
  <c r="B60" i="2"/>
  <c r="D60" i="2"/>
  <c r="A60" i="2"/>
  <c r="H18" i="2"/>
  <c r="B18" i="2"/>
  <c r="D18" i="2"/>
  <c r="A18" i="2"/>
  <c r="H17" i="2"/>
  <c r="B17" i="2"/>
  <c r="D17" i="2"/>
  <c r="A17" i="2"/>
  <c r="H16" i="2"/>
  <c r="B16" i="2"/>
  <c r="D16" i="2"/>
  <c r="A16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Q79" i="1"/>
  <c r="Q78" i="1"/>
  <c r="Q75" i="1"/>
  <c r="Q77" i="1"/>
  <c r="Q70" i="1"/>
  <c r="Q71" i="1"/>
  <c r="Q72" i="1"/>
  <c r="L73" i="1"/>
  <c r="Q73" i="1"/>
  <c r="C17" i="1"/>
  <c r="Q68" i="1"/>
  <c r="Q69" i="1"/>
  <c r="Q66" i="1"/>
  <c r="Q63" i="1"/>
  <c r="Q65" i="1"/>
  <c r="K63" i="1"/>
  <c r="Q67" i="1"/>
  <c r="Q62" i="1"/>
  <c r="Q61" i="1"/>
  <c r="Q59" i="1"/>
  <c r="Q55" i="1"/>
  <c r="Q54" i="1"/>
  <c r="Q52" i="1"/>
  <c r="Q51" i="1"/>
  <c r="Q50" i="1"/>
  <c r="Q49" i="1"/>
  <c r="Q53" i="1"/>
  <c r="E32" i="2"/>
  <c r="E31" i="2"/>
  <c r="E42" i="2"/>
  <c r="E28" i="2"/>
  <c r="E40" i="2"/>
  <c r="E39" i="2"/>
  <c r="E41" i="1"/>
  <c r="F41" i="1"/>
  <c r="G41" i="1"/>
  <c r="M41" i="1"/>
  <c r="G35" i="1"/>
  <c r="M35" i="1"/>
  <c r="E33" i="1"/>
  <c r="F33" i="1"/>
  <c r="G33" i="1"/>
  <c r="M33" i="1"/>
  <c r="E25" i="1"/>
  <c r="F25" i="1"/>
  <c r="G25" i="1"/>
  <c r="M25" i="1"/>
  <c r="E22" i="1"/>
  <c r="E38" i="1"/>
  <c r="G32" i="1"/>
  <c r="M32" i="1"/>
  <c r="E30" i="1"/>
  <c r="E21" i="1"/>
  <c r="F21" i="1"/>
  <c r="G21" i="1"/>
  <c r="M21" i="1"/>
  <c r="G49" i="1"/>
  <c r="I49" i="1"/>
  <c r="G45" i="1"/>
  <c r="M45" i="1"/>
  <c r="E43" i="1"/>
  <c r="F43" i="1"/>
  <c r="G43" i="1"/>
  <c r="M43" i="1"/>
  <c r="G37" i="1"/>
  <c r="M37" i="1"/>
  <c r="E35" i="1"/>
  <c r="F35" i="1"/>
  <c r="G29" i="1"/>
  <c r="M29" i="1"/>
  <c r="E27" i="1"/>
  <c r="F27" i="1"/>
  <c r="G27" i="1"/>
  <c r="M27" i="1"/>
  <c r="G80" i="1"/>
  <c r="G42" i="1"/>
  <c r="M42" i="1"/>
  <c r="E40" i="1"/>
  <c r="F40" i="1"/>
  <c r="G40" i="1"/>
  <c r="M40" i="1"/>
  <c r="G34" i="1"/>
  <c r="M34" i="1"/>
  <c r="E32" i="1"/>
  <c r="F32" i="1"/>
  <c r="G26" i="1"/>
  <c r="M26" i="1"/>
  <c r="E24" i="1"/>
  <c r="F24" i="1"/>
  <c r="G24" i="1"/>
  <c r="M24" i="1"/>
  <c r="E34" i="2"/>
  <c r="E50" i="2"/>
  <c r="E37" i="2"/>
  <c r="F30" i="1"/>
  <c r="G30" i="1"/>
  <c r="M30" i="1"/>
  <c r="F38" i="1"/>
  <c r="G38" i="1"/>
  <c r="M38" i="1"/>
  <c r="E45" i="2"/>
  <c r="E48" i="2"/>
  <c r="M80" i="1"/>
  <c r="F22" i="1"/>
  <c r="G22" i="1"/>
  <c r="M22" i="1"/>
  <c r="E29" i="2"/>
  <c r="E47" i="2"/>
  <c r="C11" i="1"/>
  <c r="C12" i="1"/>
  <c r="O83" i="1" l="1"/>
  <c r="O82" i="1"/>
  <c r="O81" i="1"/>
  <c r="O85" i="1"/>
  <c r="O84" i="1"/>
  <c r="C16" i="1"/>
  <c r="D18" i="1" s="1"/>
  <c r="O58" i="1"/>
  <c r="O71" i="1"/>
  <c r="O66" i="1"/>
  <c r="O70" i="1"/>
  <c r="O80" i="1"/>
  <c r="O57" i="1"/>
  <c r="O62" i="1"/>
  <c r="O73" i="1"/>
  <c r="O79" i="1"/>
  <c r="O56" i="1"/>
  <c r="C15" i="1"/>
  <c r="O65" i="1"/>
  <c r="O59" i="1"/>
  <c r="O72" i="1"/>
  <c r="O61" i="1"/>
  <c r="O63" i="1"/>
  <c r="O68" i="1"/>
  <c r="O74" i="1"/>
  <c r="O75" i="1"/>
  <c r="O77" i="1"/>
  <c r="O78" i="1"/>
  <c r="O69" i="1"/>
  <c r="O76" i="1"/>
  <c r="O67" i="1"/>
  <c r="O64" i="1"/>
  <c r="O60" i="1"/>
  <c r="F18" i="1" l="1"/>
  <c r="F19" i="1" s="1"/>
  <c r="C18" i="1"/>
</calcChain>
</file>

<file path=xl/sharedStrings.xml><?xml version="1.0" encoding="utf-8"?>
<sst xmlns="http://schemas.openxmlformats.org/spreadsheetml/2006/main" count="604" uniqueCount="301">
  <si>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</si>
  <si>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</si>
  <si>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</si>
  <si>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</si>
  <si>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</si>
  <si>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</si>
  <si>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</si>
  <si>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</si>
  <si>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</si>
  <si>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</si>
  <si>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</si>
  <si>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</si>
  <si>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</si>
  <si>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</si>
  <si>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</si>
  <si>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</si>
  <si>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</si>
  <si>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</si>
  <si>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</si>
  <si>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S1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</si>
  <si>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</si>
  <si>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</si>
  <si>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</si>
  <si>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</si>
  <si>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</si>
  <si>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</si>
  <si>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</si>
  <si>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</si>
  <si>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Cracow web site</t>
  </si>
  <si>
    <t>??</t>
  </si>
  <si>
    <t>II</t>
  </si>
  <si>
    <t>I</t>
  </si>
  <si>
    <t>IBVS 5017</t>
  </si>
  <si>
    <t>Krajci</t>
  </si>
  <si>
    <t>IBVS</t>
  </si>
  <si>
    <t>GCVS 4 = IBVS 2344</t>
  </si>
  <si>
    <t>BBSAG Bull.34</t>
  </si>
  <si>
    <t xml:space="preserve">BBSAG Bull.39 </t>
  </si>
  <si>
    <t>BBSAG Bull.49</t>
  </si>
  <si>
    <t>IBVS 5296</t>
  </si>
  <si>
    <t>IBVS 5592</t>
  </si>
  <si>
    <t>IBVS 5643</t>
  </si>
  <si>
    <t># of data points:</t>
  </si>
  <si>
    <t>NY Lyr / gsc 2661-0727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</si>
  <si>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</si>
  <si>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</si>
  <si>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</si>
  <si>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</si>
  <si>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</si>
  <si>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</si>
  <si>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</si>
  <si>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</si>
  <si>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OEJV</t>
  </si>
  <si>
    <t>IBVS 6029</t>
  </si>
  <si>
    <t>IBVS 5984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</si>
  <si>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</si>
  <si>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</si>
  <si>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</si>
  <si>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</si>
  <si>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</si>
  <si>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</si>
  <si>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</si>
  <si>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</si>
  <si>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</si>
  <si>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</si>
  <si>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</si>
  <si>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</si>
  <si>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</si>
  <si>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</si>
  <si>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2415253.372 </t>
  </si>
  <si>
    <t> 21.08.1900 20:55 </t>
  </si>
  <si>
    <t> -0.019 </t>
  </si>
  <si>
    <t>P </t>
  </si>
  <si>
    <t> W.Zessewitsch </t>
  </si>
  <si>
    <t> AC 213.24 </t>
  </si>
  <si>
    <t>2418287.119 </t>
  </si>
  <si>
    <t> 11.12.1908 14:51 </t>
  </si>
  <si>
    <t> -0.046 </t>
  </si>
  <si>
    <t>2427902.753 </t>
  </si>
  <si>
    <t> 10.04.1935 06:04 </t>
  </si>
  <si>
    <t> -0.142 </t>
  </si>
  <si>
    <t>2428749.945 </t>
  </si>
  <si>
    <t> 04.08.1937 10:40 </t>
  </si>
  <si>
    <t> -0.159 </t>
  </si>
  <si>
    <t>2430606.345 </t>
  </si>
  <si>
    <t> 03.09.1942 20:16 </t>
  </si>
  <si>
    <t> -0.169 </t>
  </si>
  <si>
    <t>2433447.429 </t>
  </si>
  <si>
    <t> 14.06.1950 22:17 </t>
  </si>
  <si>
    <t> -0.231 </t>
  </si>
  <si>
    <t> W.J.Miller </t>
  </si>
  <si>
    <t> RIA 6.595 </t>
  </si>
  <si>
    <t>2433590.296 </t>
  </si>
  <si>
    <t> 04.11.1950 19:06 </t>
  </si>
  <si>
    <t> -0.182 </t>
  </si>
  <si>
    <t>2433751.581 </t>
  </si>
  <si>
    <t> 15.04.1951 01:56 </t>
  </si>
  <si>
    <t> -0.228 </t>
  </si>
  <si>
    <t>2433857.381 </t>
  </si>
  <si>
    <t> 29.07.1951 21:08 </t>
  </si>
  <si>
    <t> -0.219 </t>
  </si>
  <si>
    <t>2434123.649 </t>
  </si>
  <si>
    <t> 21.04.1952 03:34 </t>
  </si>
  <si>
    <t> -0.191 </t>
  </si>
  <si>
    <t>2434162.215 </t>
  </si>
  <si>
    <t> 29.05.1952 17:09 </t>
  </si>
  <si>
    <t> -0.195 </t>
  </si>
  <si>
    <t>2434681.252 </t>
  </si>
  <si>
    <t> 30.10.1953 18:02 </t>
  </si>
  <si>
    <t> -0.194 </t>
  </si>
  <si>
    <t>2434714.083 </t>
  </si>
  <si>
    <t> 02.12.1953 13:59 </t>
  </si>
  <si>
    <t> -0.202 </t>
  </si>
  <si>
    <t>2434841.681 </t>
  </si>
  <si>
    <t> 09.04.1954 04:20 </t>
  </si>
  <si>
    <t> -0.215 </t>
  </si>
  <si>
    <t>2434959.363 </t>
  </si>
  <si>
    <t> 04.08.1954 20:42 </t>
  </si>
  <si>
    <t> -0.225 </t>
  </si>
  <si>
    <t>2434991.772 </t>
  </si>
  <si>
    <t> 06.09.1954 06:31 </t>
  </si>
  <si>
    <t> -0.214 </t>
  </si>
  <si>
    <t>2435402.133 </t>
  </si>
  <si>
    <t> 21.10.1955 15:11 </t>
  </si>
  <si>
    <t> -0.234 </t>
  </si>
  <si>
    <t>2436084.709 </t>
  </si>
  <si>
    <t> 03.09.1957 05:00 </t>
  </si>
  <si>
    <t> -0.229 </t>
  </si>
  <si>
    <t>2436361.099 </t>
  </si>
  <si>
    <t> 06.06.1958 14:22 </t>
  </si>
  <si>
    <t> -0.218 </t>
  </si>
  <si>
    <t>V </t>
  </si>
  <si>
    <t> V.M.Grigorevsky </t>
  </si>
  <si>
    <t>2436412.226 </t>
  </si>
  <si>
    <t> 27.07.1958 17:25 </t>
  </si>
  <si>
    <t> -0.223 </t>
  </si>
  <si>
    <t>2436428.757 </t>
  </si>
  <si>
    <t> 13.08.1958 06:10 </t>
  </si>
  <si>
    <t> -0.222 </t>
  </si>
  <si>
    <t> O.E.Mandel </t>
  </si>
  <si>
    <t>2436435.150 </t>
  </si>
  <si>
    <t> 19.08.1958 15:36 </t>
  </si>
  <si>
    <t> -0.221 </t>
  </si>
  <si>
    <t>2436731.579 </t>
  </si>
  <si>
    <t> 12.06.1959 01:53 </t>
  </si>
  <si>
    <t> -0.227 </t>
  </si>
  <si>
    <t>2436800.131 </t>
  </si>
  <si>
    <t> 19.08.1959 15:08 </t>
  </si>
  <si>
    <t>2437911.364 </t>
  </si>
  <si>
    <t> 03.09.1962 20:44 </t>
  </si>
  <si>
    <t> -0.230 </t>
  </si>
  <si>
    <t> E.N.Makarenko </t>
  </si>
  <si>
    <t> PZ 15.447 </t>
  </si>
  <si>
    <t>2437911.587 </t>
  </si>
  <si>
    <t> 04.09.1962 02:05 </t>
  </si>
  <si>
    <t>2437955.462 </t>
  </si>
  <si>
    <t> 17.10.1962 23:05 </t>
  </si>
  <si>
    <t> -0.212 </t>
  </si>
  <si>
    <t>2438267.548 </t>
  </si>
  <si>
    <t> 26.08.1963 01:09 </t>
  </si>
  <si>
    <t> -0.209 </t>
  </si>
  <si>
    <t>2443347.437 </t>
  </si>
  <si>
    <t> 22.07.1977 22:29 </t>
  </si>
  <si>
    <t> -0.045 </t>
  </si>
  <si>
    <t> R.Diethelm </t>
  </si>
  <si>
    <t> BBS 34 </t>
  </si>
  <si>
    <t>2443755.442 </t>
  </si>
  <si>
    <t> 03.09.1978 22:36 </t>
  </si>
  <si>
    <t> 0.003 </t>
  </si>
  <si>
    <t> BBS 39 </t>
  </si>
  <si>
    <t>2444438.429 </t>
  </si>
  <si>
    <t> 17.07.1980 22:17 </t>
  </si>
  <si>
    <t> -0.022 </t>
  </si>
  <si>
    <t> BBS 49 </t>
  </si>
  <si>
    <t>2445169.5100 </t>
  </si>
  <si>
    <t> 19.07.1982 00:14 </t>
  </si>
  <si>
    <t> 0.0000 </t>
  </si>
  <si>
    <t>E </t>
  </si>
  <si>
    <t>?</t>
  </si>
  <si>
    <t> M.Hoffmann </t>
  </si>
  <si>
    <t>IBVS 2344 </t>
  </si>
  <si>
    <t>2449480.5219 </t>
  </si>
  <si>
    <t> 08.05.1994 00:31 </t>
  </si>
  <si>
    <t> 0.0335 </t>
  </si>
  <si>
    <t>o</t>
  </si>
  <si>
    <t> W.Moschner </t>
  </si>
  <si>
    <t>BAVM 68 </t>
  </si>
  <si>
    <t>2449484.4898 </t>
  </si>
  <si>
    <t> 11.05.1994 23:45 </t>
  </si>
  <si>
    <t> 0.0342 </t>
  </si>
  <si>
    <t>2449486.4736 </t>
  </si>
  <si>
    <t> 13.05.1994 23:21 </t>
  </si>
  <si>
    <t> 0.0344 </t>
  </si>
  <si>
    <t>2450642.6965 </t>
  </si>
  <si>
    <t> 13.07.1997 04:42 </t>
  </si>
  <si>
    <t> 0.0512 </t>
  </si>
  <si>
    <t> B.Krobusek </t>
  </si>
  <si>
    <t> BBS 115/118 </t>
  </si>
  <si>
    <t>2450727.3349 </t>
  </si>
  <si>
    <t> 05.10.1997 20:02 </t>
  </si>
  <si>
    <t> 0.0569 </t>
  </si>
  <si>
    <t> E.Blättler </t>
  </si>
  <si>
    <t> BBS 116 </t>
  </si>
  <si>
    <t>2451420.4986 </t>
  </si>
  <si>
    <t> 29.08.1999 23:57 </t>
  </si>
  <si>
    <t> 0.0699 </t>
  </si>
  <si>
    <t> K.&amp; M.Rätz </t>
  </si>
  <si>
    <t>BAVM 133 </t>
  </si>
  <si>
    <t>2451680.5720 </t>
  </si>
  <si>
    <t> 16.05.2000 01:43 </t>
  </si>
  <si>
    <t> 0.0740 </t>
  </si>
  <si>
    <t> D.Husar </t>
  </si>
  <si>
    <t>BAVM 152 </t>
  </si>
  <si>
    <t>2452086.5513 </t>
  </si>
  <si>
    <t> 26.06.2001 01:13 </t>
  </si>
  <si>
    <t> 0.0808 </t>
  </si>
  <si>
    <t> BBS 126 </t>
  </si>
  <si>
    <t>2452147.3827 </t>
  </si>
  <si>
    <t> 25.08.2001 21:11 </t>
  </si>
  <si>
    <t> 0.0825 </t>
  </si>
  <si>
    <t> F.Agerer </t>
  </si>
  <si>
    <t>2452795.5737 </t>
  </si>
  <si>
    <t> 05.06.2003 01:46 </t>
  </si>
  <si>
    <t> 0.0839 </t>
  </si>
  <si>
    <t>-I</t>
  </si>
  <si>
    <t>BAVM 172 </t>
  </si>
  <si>
    <t>2452889.2492 </t>
  </si>
  <si>
    <t> 06.09.2003 17:58 </t>
  </si>
  <si>
    <t>17513</t>
  </si>
  <si>
    <t> 0.0904 </t>
  </si>
  <si>
    <t> T.Krajci </t>
  </si>
  <si>
    <t>IBVS 5592 </t>
  </si>
  <si>
    <t>2453612.3849 </t>
  </si>
  <si>
    <t> 29.08.2005 21:14 </t>
  </si>
  <si>
    <t>19153.5</t>
  </si>
  <si>
    <t> 0.1014 </t>
  </si>
  <si>
    <t>C </t>
  </si>
  <si>
    <t> Poschinger </t>
  </si>
  <si>
    <t>BAVM 178 </t>
  </si>
  <si>
    <t>2453648.3102 </t>
  </si>
  <si>
    <t> 04.10.2005 19:26 </t>
  </si>
  <si>
    <t>19235</t>
  </si>
  <si>
    <t> 0.1018 </t>
  </si>
  <si>
    <t>2454639.4493 </t>
  </si>
  <si>
    <t> 21.06.2008 22:46 </t>
  </si>
  <si>
    <t>21483.5</t>
  </si>
  <si>
    <t> 0.1126 </t>
  </si>
  <si>
    <t>R</t>
  </si>
  <si>
    <t> F.Lomoz </t>
  </si>
  <si>
    <t>OEJV 0094 </t>
  </si>
  <si>
    <t>2454639.4528 </t>
  </si>
  <si>
    <t> 21.06.2008 22:52 </t>
  </si>
  <si>
    <t> 0.1161 </t>
  </si>
  <si>
    <t>2454675.3775 </t>
  </si>
  <si>
    <t> 27.07.2008 21:03 </t>
  </si>
  <si>
    <t>21565</t>
  </si>
  <si>
    <t> 0.1160 </t>
  </si>
  <si>
    <t>2454675.5983 </t>
  </si>
  <si>
    <t> 28.07.2008 02:21 </t>
  </si>
  <si>
    <t>21565.5</t>
  </si>
  <si>
    <t> 0.1164 </t>
  </si>
  <si>
    <t>2455384.4114 </t>
  </si>
  <si>
    <t> 06.07.2010 21:52 </t>
  </si>
  <si>
    <t>23173.5</t>
  </si>
  <si>
    <t> 0.1306 </t>
  </si>
  <si>
    <t>BAVM 228 </t>
  </si>
  <si>
    <t>2455461.5511 </t>
  </si>
  <si>
    <t> 22.09.2010 01:13 </t>
  </si>
  <si>
    <t>23348.5</t>
  </si>
  <si>
    <t> 0.1311 </t>
  </si>
  <si>
    <t>BAVM 215 </t>
  </si>
  <si>
    <t>2455857.3958 </t>
  </si>
  <si>
    <t> 22.10.2011 21:29 </t>
  </si>
  <si>
    <t>24246.5</t>
  </si>
  <si>
    <t> 0.1416 </t>
  </si>
  <si>
    <t> P.Frank </t>
  </si>
  <si>
    <t>BAVM 225 </t>
  </si>
  <si>
    <t>2456093.8863 </t>
  </si>
  <si>
    <t> 15.06.2012 09:16 </t>
  </si>
  <si>
    <t>24783</t>
  </si>
  <si>
    <t> 0.1454 </t>
  </si>
  <si>
    <t>IBVS 6029 </t>
  </si>
  <si>
    <t>2456934.2754 </t>
  </si>
  <si>
    <t> 03.10.2014 18:36 </t>
  </si>
  <si>
    <t>26689.5</t>
  </si>
  <si>
    <t> 0.1582 </t>
  </si>
  <si>
    <t>BAVM 239 </t>
  </si>
  <si>
    <t>2456934.4976 </t>
  </si>
  <si>
    <t> 03.10.2014 23:56 </t>
  </si>
  <si>
    <t>26690</t>
  </si>
  <si>
    <t> 0.1600 </t>
  </si>
  <si>
    <t>2457131.5341 </t>
  </si>
  <si>
    <t> 19.04.2015 00:49 </t>
  </si>
  <si>
    <t>27137</t>
  </si>
  <si>
    <t> 0.1610 </t>
  </si>
  <si>
    <t> W.Moschner &amp; P.Frank </t>
  </si>
  <si>
    <t>BAVM 241 (=IBVS 6157) </t>
  </si>
  <si>
    <t>Add cycle</t>
  </si>
  <si>
    <t>Old Cycle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</si>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</sst>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20"/>
      <name val="Arial"/>
      <family val="2"/>
    </font>
    <font>
      <sz val="10"/>
      <color indexed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3" fillId="2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6" fontId="22" fillId="0" borderId="0" xfId="0" applyNumberFormat="1" applyFont="1" applyAlignment="1">
      <alignment vertical="center" wrapText="1"/>
    </xf>
    <xf numFmtId="0" fontId="13" fillId="0" borderId="0" xfId="0" applyFont="1" applyFill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Lyr - O-C Diagr.</a:t>
            </a:r>
          </a:p>
        </c:rich>
      </c:tx>
      <c:layout>
        <c:manualLayout>
          <c:xMode val="edge"/>
          <c:yMode val="edge"/>
          <c:x val="0.3703709258564901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2106037302341"/>
          <c:y val="0.14860681114551083"/>
          <c:w val="0.8007068464555198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3-4A64-A1F4-829C6A8F3D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8">
                  <c:v>-3.533652000623988E-2</c:v>
                </c:pt>
                <c:pt idx="29">
                  <c:v>-4.5462110007065348E-2</c:v>
                </c:pt>
                <c:pt idx="30">
                  <c:v>3.4507200034568086E-3</c:v>
                </c:pt>
                <c:pt idx="31">
                  <c:v>-2.1928610003669746E-2</c:v>
                </c:pt>
                <c:pt idx="33">
                  <c:v>2.028425999742467E-2</c:v>
                </c:pt>
                <c:pt idx="34">
                  <c:v>6.3953059994673822E-2</c:v>
                </c:pt>
                <c:pt idx="40">
                  <c:v>5.6855609997001011E-2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3-4A64-A1F4-829C6A8F3D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1">
                  <c:v>6.988345999707235E-2</c:v>
                </c:pt>
                <c:pt idx="45">
                  <c:v>8.3920329998363741E-2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3-4A64-A1F4-829C6A8F3D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2">
                  <c:v>7.4032860000443179E-2</c:v>
                </c:pt>
                <c:pt idx="44">
                  <c:v>8.2467799998994451E-2</c:v>
                </c:pt>
                <c:pt idx="46">
                  <c:v>9.0410579992749263E-2</c:v>
                </c:pt>
                <c:pt idx="47">
                  <c:v>0.10135530999832554</c:v>
                </c:pt>
                <c:pt idx="48">
                  <c:v>0.10183510000206297</c:v>
                </c:pt>
                <c:pt idx="54">
                  <c:v>0.13110400999721605</c:v>
                </c:pt>
                <c:pt idx="57">
                  <c:v>0.15817306999815628</c:v>
                </c:pt>
                <c:pt idx="58">
                  <c:v>0.15997540000535082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3-4A64-A1F4-829C6A8F3D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49">
                  <c:v>0.1126431099983165</c:v>
                </c:pt>
                <c:pt idx="50">
                  <c:v>0.11614310999721056</c:v>
                </c:pt>
                <c:pt idx="51">
                  <c:v>0.116012899998168</c:v>
                </c:pt>
                <c:pt idx="52">
                  <c:v>0.11640523000096437</c:v>
                </c:pt>
                <c:pt idx="56">
                  <c:v>0.14538877999439137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3-4A64-A1F4-829C6A8F3D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  <c:pt idx="0">
                  <c:v>0.200930459996016</c:v>
                </c:pt>
                <c:pt idx="1">
                  <c:v>0.1740029099964886</c:v>
                </c:pt>
                <c:pt idx="2">
                  <c:v>7.8058479997707764E-2</c:v>
                </c:pt>
                <c:pt idx="3">
                  <c:v>6.1414999996486586E-2</c:v>
                </c:pt>
                <c:pt idx="4">
                  <c:v>5.1840590000210796E-2</c:v>
                </c:pt>
                <c:pt idx="5">
                  <c:v>-1.0523380005906802E-2</c:v>
                </c:pt>
                <c:pt idx="6">
                  <c:v>3.8786459997936618E-2</c:v>
                </c:pt>
                <c:pt idx="7">
                  <c:v>-7.3079800058621913E-3</c:v>
                </c:pt>
                <c:pt idx="8">
                  <c:v>1.8104199989465997E-3</c:v>
                </c:pt>
                <c:pt idx="9">
                  <c:v>2.9425059990899172E-2</c:v>
                </c:pt>
                <c:pt idx="10">
                  <c:v>2.5832809995335992E-2</c:v>
                </c:pt>
                <c:pt idx="11">
                  <c:v>2.6319959993998054E-2</c:v>
                </c:pt>
                <c:pt idx="12">
                  <c:v>1.806712999677984E-2</c:v>
                </c:pt>
                <c:pt idx="13">
                  <c:v>5.8161999913863838E-3</c:v>
                </c:pt>
                <c:pt idx="14">
                  <c:v>-4.5395800043479539E-3</c:v>
                </c:pt>
                <c:pt idx="15">
                  <c:v>6.0029299929738045E-3</c:v>
                </c:pt>
                <c:pt idx="16">
                  <c:v>-1.3458610002999194E-2</c:v>
                </c:pt>
                <c:pt idx="17">
                  <c:v>-9.0426000024308451E-3</c:v>
                </c:pt>
                <c:pt idx="18">
                  <c:v>2.2792200034018606E-3</c:v>
                </c:pt>
                <c:pt idx="19">
                  <c:v>-2.9802200006088242E-3</c:v>
                </c:pt>
                <c:pt idx="20">
                  <c:v>-1.8054700049106032E-3</c:v>
                </c:pt>
                <c:pt idx="21">
                  <c:v>-3.3790000452427194E-4</c:v>
                </c:pt>
                <c:pt idx="22">
                  <c:v>-6.2040500051807612E-3</c:v>
                </c:pt>
                <c:pt idx="23">
                  <c:v>2.1205800003372133E-3</c:v>
                </c:pt>
                <c:pt idx="24">
                  <c:v>-9.9315600018599071E-3</c:v>
                </c:pt>
                <c:pt idx="25">
                  <c:v>-7.3292300003231503E-3</c:v>
                </c:pt>
                <c:pt idx="26">
                  <c:v>8.5344399994937703E-3</c:v>
                </c:pt>
                <c:pt idx="27">
                  <c:v>1.1433719999331515E-2</c:v>
                </c:pt>
                <c:pt idx="35">
                  <c:v>3.3474799995019566E-2</c:v>
                </c:pt>
                <c:pt idx="36">
                  <c:v>3.4216740001284052E-2</c:v>
                </c:pt>
                <c:pt idx="37">
                  <c:v>3.4437709997291677E-2</c:v>
                </c:pt>
                <c:pt idx="39">
                  <c:v>5.1160889997845516E-2</c:v>
                </c:pt>
                <c:pt idx="43">
                  <c:v>8.0824719996599015E-2</c:v>
                </c:pt>
                <c:pt idx="53">
                  <c:v>0.13058850999368588</c:v>
                </c:pt>
                <c:pt idx="55">
                  <c:v>0.14158868999948027</c:v>
                </c:pt>
                <c:pt idx="59">
                  <c:v>0.16095841999776894</c:v>
                </c:pt>
                <c:pt idx="60">
                  <c:v>0.1988966499993694</c:v>
                </c:pt>
                <c:pt idx="61">
                  <c:v>0.20077121000213083</c:v>
                </c:pt>
                <c:pt idx="62">
                  <c:v>0.20155061999685131</c:v>
                </c:pt>
                <c:pt idx="63">
                  <c:v>0.20120049999241019</c:v>
                </c:pt>
                <c:pt idx="64">
                  <c:v>0.2000517599954037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3-4A64-A1F4-829C6A8F3D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3-4A64-A1F4-829C6A8F3D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5">
                  <c:v>3.3696121527804254E-2</c:v>
                </c:pt>
                <c:pt idx="36">
                  <c:v>3.3762159590390084E-2</c:v>
                </c:pt>
                <c:pt idx="37">
                  <c:v>3.3795178621682992E-2</c:v>
                </c:pt>
                <c:pt idx="38">
                  <c:v>5.3037936302939903E-2</c:v>
                </c:pt>
                <c:pt idx="39">
                  <c:v>5.3041605084194671E-2</c:v>
                </c:pt>
                <c:pt idx="40">
                  <c:v>5.4450417086025493E-2</c:v>
                </c:pt>
                <c:pt idx="41">
                  <c:v>6.5988734132270105E-2</c:v>
                </c:pt>
                <c:pt idx="42">
                  <c:v>7.0317896012896064E-2</c:v>
                </c:pt>
                <c:pt idx="43">
                  <c:v>7.7075791084178294E-2</c:v>
                </c:pt>
                <c:pt idx="44">
                  <c:v>7.8088374710494193E-2</c:v>
                </c:pt>
                <c:pt idx="45">
                  <c:v>8.8878260380766197E-2</c:v>
                </c:pt>
                <c:pt idx="46">
                  <c:v>9.0437492414042489E-2</c:v>
                </c:pt>
                <c:pt idx="47">
                  <c:v>0.10247476371093552</c:v>
                </c:pt>
                <c:pt idx="48">
                  <c:v>0.10307277505546265</c:v>
                </c:pt>
                <c:pt idx="49">
                  <c:v>0.1195712843581533</c:v>
                </c:pt>
                <c:pt idx="50">
                  <c:v>0.1195712843581533</c:v>
                </c:pt>
                <c:pt idx="51">
                  <c:v>0.12016929570268044</c:v>
                </c:pt>
                <c:pt idx="52">
                  <c:v>0.1201729644839352</c:v>
                </c:pt>
                <c:pt idx="53">
                  <c:v>0.13197176499926833</c:v>
                </c:pt>
                <c:pt idx="54">
                  <c:v>0.13325583843843702</c:v>
                </c:pt>
                <c:pt idx="55">
                  <c:v>0.13984496957199993</c:v>
                </c:pt>
                <c:pt idx="56">
                  <c:v>0.14378157185836576</c:v>
                </c:pt>
                <c:pt idx="57">
                  <c:v>0.15777063478279524</c:v>
                </c:pt>
                <c:pt idx="58">
                  <c:v>0.15777430356405003</c:v>
                </c:pt>
                <c:pt idx="59">
                  <c:v>0.16105419400581239</c:v>
                </c:pt>
                <c:pt idx="60">
                  <c:v>0.19858949502334139</c:v>
                </c:pt>
                <c:pt idx="61">
                  <c:v>0.19870689602349395</c:v>
                </c:pt>
                <c:pt idx="62">
                  <c:v>0.19898939218011108</c:v>
                </c:pt>
                <c:pt idx="63">
                  <c:v>0.19985522455623628</c:v>
                </c:pt>
                <c:pt idx="64">
                  <c:v>0.19993593774384116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3-4A64-A1F4-829C6A8F3D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8">
                  <c:v>-2.8941440003109165E-2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A3-4A64-A1F4-829C6A8F3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89008"/>
        <c:axId val="1"/>
      </c:scatterChart>
      <c:valAx>
        <c:axId val="60188900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6781189388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89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2328042328042326E-2"/>
          <c:y val="0.91950464396284826"/>
          <c:w val="0.950618950408976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Lyr - O-C Diagr.</a:t>
            </a:r>
          </a:p>
        </c:rich>
      </c:tx>
      <c:layout>
        <c:manualLayout>
          <c:xMode val="edge"/>
          <c:yMode val="edge"/>
          <c:x val="0.3697186795312557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0858086262521"/>
          <c:y val="0.14814859468012961"/>
          <c:w val="0.7904936372944038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73-4290-B925-572731FCF2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8">
                  <c:v>-3.533652000623988E-2</c:v>
                </c:pt>
                <c:pt idx="29">
                  <c:v>-4.5462110007065348E-2</c:v>
                </c:pt>
                <c:pt idx="30">
                  <c:v>3.4507200034568086E-3</c:v>
                </c:pt>
                <c:pt idx="31">
                  <c:v>-2.1928610003669746E-2</c:v>
                </c:pt>
                <c:pt idx="33">
                  <c:v>2.028425999742467E-2</c:v>
                </c:pt>
                <c:pt idx="34">
                  <c:v>6.3953059994673822E-2</c:v>
                </c:pt>
                <c:pt idx="40">
                  <c:v>5.6855609997001011E-2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73-4290-B925-572731FCF2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1">
                  <c:v>6.988345999707235E-2</c:v>
                </c:pt>
                <c:pt idx="45">
                  <c:v>8.3920329998363741E-2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73-4290-B925-572731FCF2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2">
                  <c:v>7.4032860000443179E-2</c:v>
                </c:pt>
                <c:pt idx="44">
                  <c:v>8.2467799998994451E-2</c:v>
                </c:pt>
                <c:pt idx="46">
                  <c:v>9.0410579992749263E-2</c:v>
                </c:pt>
                <c:pt idx="47">
                  <c:v>0.10135530999832554</c:v>
                </c:pt>
                <c:pt idx="48">
                  <c:v>0.10183510000206297</c:v>
                </c:pt>
                <c:pt idx="54">
                  <c:v>0.13110400999721605</c:v>
                </c:pt>
                <c:pt idx="57">
                  <c:v>0.15817306999815628</c:v>
                </c:pt>
                <c:pt idx="58">
                  <c:v>0.15997540000535082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73-4290-B925-572731FCF2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49">
                  <c:v>0.1126431099983165</c:v>
                </c:pt>
                <c:pt idx="50">
                  <c:v>0.11614310999721056</c:v>
                </c:pt>
                <c:pt idx="51">
                  <c:v>0.116012899998168</c:v>
                </c:pt>
                <c:pt idx="52">
                  <c:v>0.11640523000096437</c:v>
                </c:pt>
                <c:pt idx="56">
                  <c:v>0.14538877999439137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73-4290-B925-572731FCF2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  <c:pt idx="0">
                  <c:v>0.200930459996016</c:v>
                </c:pt>
                <c:pt idx="1">
                  <c:v>0.1740029099964886</c:v>
                </c:pt>
                <c:pt idx="2">
                  <c:v>7.8058479997707764E-2</c:v>
                </c:pt>
                <c:pt idx="3">
                  <c:v>6.1414999996486586E-2</c:v>
                </c:pt>
                <c:pt idx="4">
                  <c:v>5.1840590000210796E-2</c:v>
                </c:pt>
                <c:pt idx="5">
                  <c:v>-1.0523380005906802E-2</c:v>
                </c:pt>
                <c:pt idx="6">
                  <c:v>3.8786459997936618E-2</c:v>
                </c:pt>
                <c:pt idx="7">
                  <c:v>-7.3079800058621913E-3</c:v>
                </c:pt>
                <c:pt idx="8">
                  <c:v>1.8104199989465997E-3</c:v>
                </c:pt>
                <c:pt idx="9">
                  <c:v>2.9425059990899172E-2</c:v>
                </c:pt>
                <c:pt idx="10">
                  <c:v>2.5832809995335992E-2</c:v>
                </c:pt>
                <c:pt idx="11">
                  <c:v>2.6319959993998054E-2</c:v>
                </c:pt>
                <c:pt idx="12">
                  <c:v>1.806712999677984E-2</c:v>
                </c:pt>
                <c:pt idx="13">
                  <c:v>5.8161999913863838E-3</c:v>
                </c:pt>
                <c:pt idx="14">
                  <c:v>-4.5395800043479539E-3</c:v>
                </c:pt>
                <c:pt idx="15">
                  <c:v>6.0029299929738045E-3</c:v>
                </c:pt>
                <c:pt idx="16">
                  <c:v>-1.3458610002999194E-2</c:v>
                </c:pt>
                <c:pt idx="17">
                  <c:v>-9.0426000024308451E-3</c:v>
                </c:pt>
                <c:pt idx="18">
                  <c:v>2.2792200034018606E-3</c:v>
                </c:pt>
                <c:pt idx="19">
                  <c:v>-2.9802200006088242E-3</c:v>
                </c:pt>
                <c:pt idx="20">
                  <c:v>-1.8054700049106032E-3</c:v>
                </c:pt>
                <c:pt idx="21">
                  <c:v>-3.3790000452427194E-4</c:v>
                </c:pt>
                <c:pt idx="22">
                  <c:v>-6.2040500051807612E-3</c:v>
                </c:pt>
                <c:pt idx="23">
                  <c:v>2.1205800003372133E-3</c:v>
                </c:pt>
                <c:pt idx="24">
                  <c:v>-9.9315600018599071E-3</c:v>
                </c:pt>
                <c:pt idx="25">
                  <c:v>-7.3292300003231503E-3</c:v>
                </c:pt>
                <c:pt idx="26">
                  <c:v>8.5344399994937703E-3</c:v>
                </c:pt>
                <c:pt idx="27">
                  <c:v>1.1433719999331515E-2</c:v>
                </c:pt>
                <c:pt idx="35">
                  <c:v>3.3474799995019566E-2</c:v>
                </c:pt>
                <c:pt idx="36">
                  <c:v>3.4216740001284052E-2</c:v>
                </c:pt>
                <c:pt idx="37">
                  <c:v>3.4437709997291677E-2</c:v>
                </c:pt>
                <c:pt idx="39">
                  <c:v>5.1160889997845516E-2</c:v>
                </c:pt>
                <c:pt idx="43">
                  <c:v>8.0824719996599015E-2</c:v>
                </c:pt>
                <c:pt idx="53">
                  <c:v>0.13058850999368588</c:v>
                </c:pt>
                <c:pt idx="55">
                  <c:v>0.14158868999948027</c:v>
                </c:pt>
                <c:pt idx="59">
                  <c:v>0.16095841999776894</c:v>
                </c:pt>
                <c:pt idx="60">
                  <c:v>0.1988966499993694</c:v>
                </c:pt>
                <c:pt idx="61">
                  <c:v>0.20077121000213083</c:v>
                </c:pt>
                <c:pt idx="62">
                  <c:v>0.20155061999685131</c:v>
                </c:pt>
                <c:pt idx="63">
                  <c:v>0.20120049999241019</c:v>
                </c:pt>
                <c:pt idx="64">
                  <c:v>0.2000517599954037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73-4290-B925-572731FCF2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73-4290-B925-572731FCF2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5">
                  <c:v>3.3696121527804254E-2</c:v>
                </c:pt>
                <c:pt idx="36">
                  <c:v>3.3762159590390084E-2</c:v>
                </c:pt>
                <c:pt idx="37">
                  <c:v>3.3795178621682992E-2</c:v>
                </c:pt>
                <c:pt idx="38">
                  <c:v>5.3037936302939903E-2</c:v>
                </c:pt>
                <c:pt idx="39">
                  <c:v>5.3041605084194671E-2</c:v>
                </c:pt>
                <c:pt idx="40">
                  <c:v>5.4450417086025493E-2</c:v>
                </c:pt>
                <c:pt idx="41">
                  <c:v>6.5988734132270105E-2</c:v>
                </c:pt>
                <c:pt idx="42">
                  <c:v>7.0317896012896064E-2</c:v>
                </c:pt>
                <c:pt idx="43">
                  <c:v>7.7075791084178294E-2</c:v>
                </c:pt>
                <c:pt idx="44">
                  <c:v>7.8088374710494193E-2</c:v>
                </c:pt>
                <c:pt idx="45">
                  <c:v>8.8878260380766197E-2</c:v>
                </c:pt>
                <c:pt idx="46">
                  <c:v>9.0437492414042489E-2</c:v>
                </c:pt>
                <c:pt idx="47">
                  <c:v>0.10247476371093552</c:v>
                </c:pt>
                <c:pt idx="48">
                  <c:v>0.10307277505546265</c:v>
                </c:pt>
                <c:pt idx="49">
                  <c:v>0.1195712843581533</c:v>
                </c:pt>
                <c:pt idx="50">
                  <c:v>0.1195712843581533</c:v>
                </c:pt>
                <c:pt idx="51">
                  <c:v>0.12016929570268044</c:v>
                </c:pt>
                <c:pt idx="52">
                  <c:v>0.1201729644839352</c:v>
                </c:pt>
                <c:pt idx="53">
                  <c:v>0.13197176499926833</c:v>
                </c:pt>
                <c:pt idx="54">
                  <c:v>0.13325583843843702</c:v>
                </c:pt>
                <c:pt idx="55">
                  <c:v>0.13984496957199993</c:v>
                </c:pt>
                <c:pt idx="56">
                  <c:v>0.14378157185836576</c:v>
                </c:pt>
                <c:pt idx="57">
                  <c:v>0.15777063478279524</c:v>
                </c:pt>
                <c:pt idx="58">
                  <c:v>0.15777430356405003</c:v>
                </c:pt>
                <c:pt idx="59">
                  <c:v>0.16105419400581239</c:v>
                </c:pt>
                <c:pt idx="60">
                  <c:v>0.19858949502334139</c:v>
                </c:pt>
                <c:pt idx="61">
                  <c:v>0.19870689602349395</c:v>
                </c:pt>
                <c:pt idx="62">
                  <c:v>0.19898939218011108</c:v>
                </c:pt>
                <c:pt idx="63">
                  <c:v>0.19985522455623628</c:v>
                </c:pt>
                <c:pt idx="64">
                  <c:v>0.19993593774384116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73-4290-B925-572731FCF2E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8">
                  <c:v>-2.8941440003109165E-2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73-4290-B925-572731FCF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90320"/>
        <c:axId val="1"/>
      </c:scatterChart>
      <c:valAx>
        <c:axId val="60189032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271302354810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9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01408450704225E-2"/>
          <c:y val="0.91975600272188196"/>
          <c:w val="0.9489444013160326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15</xdr:col>
      <xdr:colOff>409575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6CCA483-32E9-AAC5-1B35-5338955CD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95250</xdr:colOff>
      <xdr:row>0</xdr:row>
      <xdr:rowOff>0</xdr:rowOff>
    </xdr:from>
    <xdr:to>
      <xdr:col>24</xdr:col>
      <xdr:colOff>47625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E6A14CA-963E-A222-8FE0-7C1DE30EF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33" TargetMode="External"/><Relationship Id="rId15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25</v>
      </c>
      <c r="B2" s="19" t="s">
        <v>29</v>
      </c>
    </row>
    <row r="4" spans="1:7" ht="14.25" thickTop="1" thickBot="1" x14ac:dyDescent="0.25">
      <c r="A4" s="7" t="s">
        <v>0</v>
      </c>
      <c r="C4" s="3">
        <v>45169.51</v>
      </c>
      <c r="D4" s="4">
        <v>0.44079533999999998</v>
      </c>
    </row>
    <row r="5" spans="1:7" ht="13.5" thickTop="1" x14ac:dyDescent="0.2">
      <c r="A5" s="25" t="s">
        <v>45</v>
      </c>
      <c r="B5" s="10"/>
      <c r="C5" s="26">
        <v>-9.5</v>
      </c>
      <c r="D5" s="10" t="s">
        <v>46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45169.51</v>
      </c>
    </row>
    <row r="8" spans="1:7" x14ac:dyDescent="0.2">
      <c r="A8" t="s">
        <v>3</v>
      </c>
      <c r="C8">
        <f>+D4</f>
        <v>0.44079533999999998</v>
      </c>
    </row>
    <row r="9" spans="1:7" x14ac:dyDescent="0.2">
      <c r="A9" s="38" t="s">
        <v>50</v>
      </c>
      <c r="B9" s="39">
        <v>58</v>
      </c>
      <c r="C9" s="28" t="str">
        <f>"F"&amp;B9</f>
        <v>F58</v>
      </c>
      <c r="D9" s="13" t="str">
        <f>"G"&amp;B9</f>
        <v>G58</v>
      </c>
      <c r="E9" s="10"/>
    </row>
    <row r="10" spans="1:7" ht="13.5" thickBot="1" x14ac:dyDescent="0.25">
      <c r="A10" s="10"/>
      <c r="B10" s="10"/>
      <c r="C10" s="6" t="s">
        <v>21</v>
      </c>
      <c r="D10" s="6" t="s">
        <v>22</v>
      </c>
      <c r="E10" s="10"/>
    </row>
    <row r="11" spans="1:7" x14ac:dyDescent="0.2">
      <c r="A11" s="10" t="s">
        <v>16</v>
      </c>
      <c r="B11" s="10"/>
      <c r="C11" s="27">
        <f ca="1">INTERCEPT(INDIRECT($D$9):G978,INDIRECT($C$9):F978)</f>
        <v>-3.8065239815453192E-2</v>
      </c>
      <c r="D11" s="5"/>
      <c r="E11" s="10"/>
      <c r="F11" s="28" t="str">
        <f>"F"&amp;E19</f>
        <v>FNext ToM</v>
      </c>
      <c r="G11" s="13" t="str">
        <f>"G"&amp;E19</f>
        <v>GNext ToM</v>
      </c>
    </row>
    <row r="12" spans="1:7" x14ac:dyDescent="0.2">
      <c r="A12" s="10" t="s">
        <v>17</v>
      </c>
      <c r="B12" s="10"/>
      <c r="C12" s="27">
        <f ca="1">SLOPE(INDIRECT($D$9):G978,INDIRECT($C$9):F978)</f>
        <v>7.3375625095355265E-6</v>
      </c>
      <c r="D12" s="5"/>
      <c r="E12" s="10"/>
    </row>
    <row r="13" spans="1:7" x14ac:dyDescent="0.2">
      <c r="A13" s="10" t="s">
        <v>20</v>
      </c>
      <c r="B13" s="10"/>
      <c r="C13" s="5" t="s">
        <v>14</v>
      </c>
      <c r="D13" s="5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29" t="s">
        <v>18</v>
      </c>
      <c r="B15" s="10"/>
      <c r="C15" s="30">
        <f ca="1">(C7+C11)+(C8+C12)*INT(MAX(F21:F3529))</f>
        <v>59467.34758417774</v>
      </c>
      <c r="D15" s="31"/>
      <c r="E15" s="31" t="s">
        <v>297</v>
      </c>
      <c r="F15" s="26">
        <v>1</v>
      </c>
    </row>
    <row r="16" spans="1:7" x14ac:dyDescent="0.2">
      <c r="A16" s="33" t="s">
        <v>4</v>
      </c>
      <c r="B16" s="10"/>
      <c r="C16" s="34">
        <f ca="1">+C8+C12</f>
        <v>0.44080267756250952</v>
      </c>
      <c r="D16" s="31"/>
      <c r="E16" s="31" t="s">
        <v>47</v>
      </c>
      <c r="F16" s="32">
        <f ca="1">NOW()+15018.5+$C$5/24</f>
        <v>59963.705249652776</v>
      </c>
    </row>
    <row r="17" spans="1:21" ht="13.5" thickBot="1" x14ac:dyDescent="0.25">
      <c r="A17" s="31" t="s">
        <v>42</v>
      </c>
      <c r="B17" s="10"/>
      <c r="C17" s="10">
        <f>COUNT(C21:C2187)</f>
        <v>65</v>
      </c>
      <c r="D17" s="31"/>
      <c r="E17" s="31" t="s">
        <v>298</v>
      </c>
      <c r="F17" s="32">
        <f ca="1">ROUND(2*(F16-$C$7)/$C$8,0)/2+F15</f>
        <v>33563.5</v>
      </c>
    </row>
    <row r="18" spans="1:21" x14ac:dyDescent="0.2">
      <c r="A18" s="33" t="s">
        <v>5</v>
      </c>
      <c r="B18" s="10"/>
      <c r="C18" s="36">
        <f ca="1">+C15</f>
        <v>59467.34758417774</v>
      </c>
      <c r="D18" s="37">
        <f ca="1">+C16</f>
        <v>0.44080267756250952</v>
      </c>
      <c r="E18" s="31" t="s">
        <v>48</v>
      </c>
      <c r="F18" s="13">
        <f ca="1">ROUND(2*(F16-$C$15)/$C$16,0)/2+F15</f>
        <v>1127</v>
      </c>
    </row>
    <row r="19" spans="1:21" ht="13.5" thickTop="1" x14ac:dyDescent="0.2">
      <c r="A19" s="38"/>
      <c r="E19" s="31" t="s">
        <v>49</v>
      </c>
      <c r="F19" s="35">
        <f ca="1">+$C$15+$C$16*F18-15018.5-$C$5/24</f>
        <v>44946.028035124022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19</v>
      </c>
      <c r="J20" s="9" t="s">
        <v>34</v>
      </c>
      <c r="K20" s="9" t="s">
        <v>33</v>
      </c>
      <c r="L20" s="9" t="s">
        <v>52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15</v>
      </c>
      <c r="U20" s="63" t="s">
        <v>299</v>
      </c>
    </row>
    <row r="21" spans="1:21" x14ac:dyDescent="0.2">
      <c r="A21" s="61" t="s">
        <v>74</v>
      </c>
      <c r="B21" s="62" t="s">
        <v>30</v>
      </c>
      <c r="C21" s="61">
        <v>15253.371999999999</v>
      </c>
      <c r="E21">
        <f t="shared" ref="E21:E52" si="0">+(C21-C$7)/C$8</f>
        <v>-67868.544163828963</v>
      </c>
      <c r="F21" s="40">
        <f>ROUND(2*E21,0)/2-0.5</f>
        <v>-67869</v>
      </c>
      <c r="G21">
        <f t="shared" ref="G21:G58" si="1">+C21-(C$7+F21*C$8)</f>
        <v>0.200930459996016</v>
      </c>
      <c r="M21">
        <f t="shared" ref="M21:M48" si="2">G21</f>
        <v>0.200930459996016</v>
      </c>
      <c r="Q21" s="2">
        <f t="shared" ref="Q21:Q52" si="3">+C21-15018.5</f>
        <v>234.87199999999939</v>
      </c>
    </row>
    <row r="22" spans="1:21" x14ac:dyDescent="0.2">
      <c r="A22" s="61" t="s">
        <v>74</v>
      </c>
      <c r="B22" s="62" t="s">
        <v>31</v>
      </c>
      <c r="C22" s="61">
        <v>18287.118999999999</v>
      </c>
      <c r="E22">
        <f t="shared" si="0"/>
        <v>-60986.105252383124</v>
      </c>
      <c r="F22" s="40">
        <f>ROUND(2*E22,0)/2-0.5</f>
        <v>-60986.5</v>
      </c>
      <c r="G22">
        <f t="shared" si="1"/>
        <v>0.1740029099964886</v>
      </c>
      <c r="M22">
        <f t="shared" si="2"/>
        <v>0.1740029099964886</v>
      </c>
      <c r="Q22" s="2">
        <f t="shared" si="3"/>
        <v>3268.6189999999988</v>
      </c>
    </row>
    <row r="23" spans="1:21" x14ac:dyDescent="0.2">
      <c r="A23" s="61" t="s">
        <v>74</v>
      </c>
      <c r="B23" s="62" t="s">
        <v>30</v>
      </c>
      <c r="C23" s="61">
        <v>27902.753000000001</v>
      </c>
      <c r="E23">
        <f t="shared" si="0"/>
        <v>-39171.822914461853</v>
      </c>
      <c r="F23">
        <f t="shared" ref="F23:F69" si="4">ROUND(2*E23,0)/2</f>
        <v>-39172</v>
      </c>
      <c r="G23">
        <f t="shared" si="1"/>
        <v>7.8058479997707764E-2</v>
      </c>
      <c r="M23">
        <f t="shared" si="2"/>
        <v>7.8058479997707764E-2</v>
      </c>
      <c r="Q23" s="2">
        <f t="shared" si="3"/>
        <v>12884.253000000001</v>
      </c>
    </row>
    <row r="24" spans="1:21" x14ac:dyDescent="0.2">
      <c r="A24" s="61" t="s">
        <v>74</v>
      </c>
      <c r="B24" s="62" t="s">
        <v>30</v>
      </c>
      <c r="C24" s="61">
        <v>28749.945</v>
      </c>
      <c r="E24">
        <f t="shared" si="0"/>
        <v>-37249.860672302035</v>
      </c>
      <c r="F24">
        <f t="shared" si="4"/>
        <v>-37250</v>
      </c>
      <c r="G24">
        <f t="shared" si="1"/>
        <v>6.1414999996486586E-2</v>
      </c>
      <c r="M24">
        <f t="shared" si="2"/>
        <v>6.1414999996486586E-2</v>
      </c>
      <c r="Q24" s="2">
        <f t="shared" si="3"/>
        <v>13731.445</v>
      </c>
    </row>
    <row r="25" spans="1:21" x14ac:dyDescent="0.2">
      <c r="A25" s="61" t="s">
        <v>74</v>
      </c>
      <c r="B25" s="62" t="s">
        <v>31</v>
      </c>
      <c r="C25" s="61">
        <v>30606.345000000001</v>
      </c>
      <c r="E25">
        <f t="shared" si="0"/>
        <v>-33038.382393062508</v>
      </c>
      <c r="F25">
        <f t="shared" si="4"/>
        <v>-33038.5</v>
      </c>
      <c r="G25">
        <f t="shared" si="1"/>
        <v>5.1840590000210796E-2</v>
      </c>
      <c r="M25">
        <f t="shared" si="2"/>
        <v>5.1840590000210796E-2</v>
      </c>
      <c r="Q25" s="2">
        <f t="shared" si="3"/>
        <v>15587.845000000001</v>
      </c>
    </row>
    <row r="26" spans="1:21" x14ac:dyDescent="0.2">
      <c r="A26" s="61" t="s">
        <v>91</v>
      </c>
      <c r="B26" s="62" t="s">
        <v>30</v>
      </c>
      <c r="C26" s="61">
        <v>33447.428999999996</v>
      </c>
      <c r="E26">
        <f t="shared" si="0"/>
        <v>-26593.023873619004</v>
      </c>
      <c r="F26">
        <f t="shared" si="4"/>
        <v>-26593</v>
      </c>
      <c r="G26">
        <f t="shared" si="1"/>
        <v>-1.0523380005906802E-2</v>
      </c>
      <c r="M26">
        <f t="shared" si="2"/>
        <v>-1.0523380005906802E-2</v>
      </c>
      <c r="Q26" s="2">
        <f t="shared" si="3"/>
        <v>18428.928999999996</v>
      </c>
    </row>
    <row r="27" spans="1:21" x14ac:dyDescent="0.2">
      <c r="A27" s="61" t="s">
        <v>91</v>
      </c>
      <c r="B27" s="62" t="s">
        <v>30</v>
      </c>
      <c r="C27" s="61">
        <v>33590.296000000002</v>
      </c>
      <c r="E27">
        <f t="shared" si="0"/>
        <v>-26268.912008008072</v>
      </c>
      <c r="F27">
        <f t="shared" si="4"/>
        <v>-26269</v>
      </c>
      <c r="G27">
        <f t="shared" si="1"/>
        <v>3.8786459997936618E-2</v>
      </c>
      <c r="M27">
        <f t="shared" si="2"/>
        <v>3.8786459997936618E-2</v>
      </c>
      <c r="Q27" s="2">
        <f t="shared" si="3"/>
        <v>18571.796000000002</v>
      </c>
    </row>
    <row r="28" spans="1:21" x14ac:dyDescent="0.2">
      <c r="A28" s="61" t="s">
        <v>91</v>
      </c>
      <c r="B28" s="62" t="s">
        <v>30</v>
      </c>
      <c r="C28" s="61">
        <v>33751.580999999998</v>
      </c>
      <c r="E28">
        <f t="shared" si="0"/>
        <v>-25903.016579077273</v>
      </c>
      <c r="F28">
        <f t="shared" si="4"/>
        <v>-25903</v>
      </c>
      <c r="G28">
        <f t="shared" si="1"/>
        <v>-7.3079800058621913E-3</v>
      </c>
      <c r="M28">
        <f t="shared" si="2"/>
        <v>-7.3079800058621913E-3</v>
      </c>
      <c r="Q28" s="2">
        <f t="shared" si="3"/>
        <v>18733.080999999998</v>
      </c>
    </row>
    <row r="29" spans="1:21" x14ac:dyDescent="0.2">
      <c r="A29" s="61" t="s">
        <v>91</v>
      </c>
      <c r="B29" s="62" t="s">
        <v>30</v>
      </c>
      <c r="C29" s="61">
        <v>33857.381000000001</v>
      </c>
      <c r="E29">
        <f t="shared" si="0"/>
        <v>-25662.995892833173</v>
      </c>
      <c r="F29">
        <f t="shared" si="4"/>
        <v>-25663</v>
      </c>
      <c r="G29">
        <f t="shared" si="1"/>
        <v>1.8104199989465997E-3</v>
      </c>
      <c r="M29">
        <f t="shared" si="2"/>
        <v>1.8104199989465997E-3</v>
      </c>
      <c r="Q29" s="2">
        <f t="shared" si="3"/>
        <v>18838.881000000001</v>
      </c>
    </row>
    <row r="30" spans="1:21" x14ac:dyDescent="0.2">
      <c r="A30" s="61" t="s">
        <v>91</v>
      </c>
      <c r="B30" s="62" t="s">
        <v>30</v>
      </c>
      <c r="C30" s="61">
        <v>34123.648999999998</v>
      </c>
      <c r="E30">
        <f t="shared" si="0"/>
        <v>-25058.933245528424</v>
      </c>
      <c r="F30">
        <f t="shared" si="4"/>
        <v>-25059</v>
      </c>
      <c r="G30">
        <f t="shared" si="1"/>
        <v>2.9425059990899172E-2</v>
      </c>
      <c r="M30">
        <f t="shared" si="2"/>
        <v>2.9425059990899172E-2</v>
      </c>
      <c r="Q30" s="2">
        <f t="shared" si="3"/>
        <v>19105.148999999998</v>
      </c>
    </row>
    <row r="31" spans="1:21" x14ac:dyDescent="0.2">
      <c r="A31" s="61" t="s">
        <v>74</v>
      </c>
      <c r="B31" s="62" t="s">
        <v>31</v>
      </c>
      <c r="C31" s="61">
        <v>34162.214999999997</v>
      </c>
      <c r="E31">
        <f t="shared" si="0"/>
        <v>-24971.441395002057</v>
      </c>
      <c r="F31">
        <f t="shared" si="4"/>
        <v>-24971.5</v>
      </c>
      <c r="G31">
        <f t="shared" si="1"/>
        <v>2.5832809995335992E-2</v>
      </c>
      <c r="M31">
        <f t="shared" si="2"/>
        <v>2.5832809995335992E-2</v>
      </c>
      <c r="Q31" s="2">
        <f t="shared" si="3"/>
        <v>19143.714999999997</v>
      </c>
    </row>
    <row r="32" spans="1:21" x14ac:dyDescent="0.2">
      <c r="A32" s="61" t="s">
        <v>91</v>
      </c>
      <c r="B32" s="62" t="s">
        <v>30</v>
      </c>
      <c r="C32" s="61">
        <v>34681.252</v>
      </c>
      <c r="E32">
        <f t="shared" si="0"/>
        <v>-23793.940289840637</v>
      </c>
      <c r="F32">
        <f t="shared" si="4"/>
        <v>-23794</v>
      </c>
      <c r="G32">
        <f t="shared" si="1"/>
        <v>2.6319959993998054E-2</v>
      </c>
      <c r="M32">
        <f t="shared" si="2"/>
        <v>2.6319959993998054E-2</v>
      </c>
      <c r="Q32" s="2">
        <f t="shared" si="3"/>
        <v>19662.752</v>
      </c>
    </row>
    <row r="33" spans="1:17" x14ac:dyDescent="0.2">
      <c r="A33" s="61" t="s">
        <v>74</v>
      </c>
      <c r="B33" s="62" t="s">
        <v>31</v>
      </c>
      <c r="C33" s="61">
        <v>34714.082999999999</v>
      </c>
      <c r="E33">
        <f t="shared" si="0"/>
        <v>-23719.459012429677</v>
      </c>
      <c r="F33">
        <f t="shared" si="4"/>
        <v>-23719.5</v>
      </c>
      <c r="G33">
        <f t="shared" si="1"/>
        <v>1.806712999677984E-2</v>
      </c>
      <c r="M33">
        <f t="shared" si="2"/>
        <v>1.806712999677984E-2</v>
      </c>
      <c r="Q33" s="2">
        <f t="shared" si="3"/>
        <v>19695.582999999999</v>
      </c>
    </row>
    <row r="34" spans="1:17" x14ac:dyDescent="0.2">
      <c r="A34" s="61" t="s">
        <v>91</v>
      </c>
      <c r="B34" s="62" t="s">
        <v>30</v>
      </c>
      <c r="C34" s="61">
        <v>34841.680999999997</v>
      </c>
      <c r="E34">
        <f t="shared" si="0"/>
        <v>-23429.986805214423</v>
      </c>
      <c r="F34">
        <f t="shared" si="4"/>
        <v>-23430</v>
      </c>
      <c r="G34">
        <f t="shared" si="1"/>
        <v>5.8161999913863838E-3</v>
      </c>
      <c r="M34">
        <f t="shared" si="2"/>
        <v>5.8161999913863838E-3</v>
      </c>
      <c r="Q34" s="2">
        <f t="shared" si="3"/>
        <v>19823.180999999997</v>
      </c>
    </row>
    <row r="35" spans="1:17" x14ac:dyDescent="0.2">
      <c r="A35" s="61" t="s">
        <v>91</v>
      </c>
      <c r="B35" s="62" t="s">
        <v>30</v>
      </c>
      <c r="C35" s="61">
        <v>34959.362999999998</v>
      </c>
      <c r="E35">
        <f t="shared" si="0"/>
        <v>-23163.010298611607</v>
      </c>
      <c r="F35">
        <f t="shared" si="4"/>
        <v>-23163</v>
      </c>
      <c r="G35">
        <f t="shared" si="1"/>
        <v>-4.5395800043479539E-3</v>
      </c>
      <c r="M35">
        <f t="shared" si="2"/>
        <v>-4.5395800043479539E-3</v>
      </c>
      <c r="Q35" s="2">
        <f t="shared" si="3"/>
        <v>19940.862999999998</v>
      </c>
    </row>
    <row r="36" spans="1:17" x14ac:dyDescent="0.2">
      <c r="A36" s="61" t="s">
        <v>74</v>
      </c>
      <c r="B36" s="62" t="s">
        <v>31</v>
      </c>
      <c r="C36" s="61">
        <v>34991.771999999997</v>
      </c>
      <c r="E36">
        <f t="shared" si="0"/>
        <v>-23089.486381593793</v>
      </c>
      <c r="F36">
        <f t="shared" si="4"/>
        <v>-23089.5</v>
      </c>
      <c r="G36">
        <f t="shared" si="1"/>
        <v>6.0029299929738045E-3</v>
      </c>
      <c r="M36">
        <f t="shared" si="2"/>
        <v>6.0029299929738045E-3</v>
      </c>
      <c r="Q36" s="2">
        <f t="shared" si="3"/>
        <v>19973.271999999997</v>
      </c>
    </row>
    <row r="37" spans="1:17" x14ac:dyDescent="0.2">
      <c r="A37" s="61" t="s">
        <v>74</v>
      </c>
      <c r="B37" s="62" t="s">
        <v>31</v>
      </c>
      <c r="C37" s="61">
        <v>35402.133000000002</v>
      </c>
      <c r="E37">
        <f t="shared" si="0"/>
        <v>-22158.530532559624</v>
      </c>
      <c r="F37">
        <f t="shared" si="4"/>
        <v>-22158.5</v>
      </c>
      <c r="G37">
        <f t="shared" si="1"/>
        <v>-1.3458610002999194E-2</v>
      </c>
      <c r="M37">
        <f t="shared" si="2"/>
        <v>-1.3458610002999194E-2</v>
      </c>
      <c r="Q37" s="2">
        <f t="shared" si="3"/>
        <v>20383.633000000002</v>
      </c>
    </row>
    <row r="38" spans="1:17" x14ac:dyDescent="0.2">
      <c r="A38" s="61" t="s">
        <v>74</v>
      </c>
      <c r="B38" s="62" t="s">
        <v>30</v>
      </c>
      <c r="C38" s="61">
        <v>36084.709000000003</v>
      </c>
      <c r="E38">
        <f t="shared" si="0"/>
        <v>-20610.020514282205</v>
      </c>
      <c r="F38">
        <f t="shared" si="4"/>
        <v>-20610</v>
      </c>
      <c r="G38">
        <f t="shared" si="1"/>
        <v>-9.0426000024308451E-3</v>
      </c>
      <c r="M38">
        <f t="shared" si="2"/>
        <v>-9.0426000024308451E-3</v>
      </c>
      <c r="Q38" s="2">
        <f t="shared" si="3"/>
        <v>21066.209000000003</v>
      </c>
    </row>
    <row r="39" spans="1:17" x14ac:dyDescent="0.2">
      <c r="A39" s="61" t="s">
        <v>74</v>
      </c>
      <c r="B39" s="62" t="s">
        <v>30</v>
      </c>
      <c r="C39" s="61">
        <v>36361.099000000002</v>
      </c>
      <c r="E39">
        <f t="shared" si="0"/>
        <v>-19982.994829301057</v>
      </c>
      <c r="F39">
        <f t="shared" si="4"/>
        <v>-19983</v>
      </c>
      <c r="G39">
        <f t="shared" si="1"/>
        <v>2.2792200034018606E-3</v>
      </c>
      <c r="M39">
        <f t="shared" si="2"/>
        <v>2.2792200034018606E-3</v>
      </c>
      <c r="Q39" s="2">
        <f t="shared" si="3"/>
        <v>21342.599000000002</v>
      </c>
    </row>
    <row r="40" spans="1:17" x14ac:dyDescent="0.2">
      <c r="A40" s="61" t="s">
        <v>74</v>
      </c>
      <c r="B40" s="62" t="s">
        <v>30</v>
      </c>
      <c r="C40" s="61">
        <v>36412.226000000002</v>
      </c>
      <c r="E40">
        <f t="shared" si="0"/>
        <v>-19867.006761006138</v>
      </c>
      <c r="F40">
        <f t="shared" si="4"/>
        <v>-19867</v>
      </c>
      <c r="G40">
        <f t="shared" si="1"/>
        <v>-2.9802200006088242E-3</v>
      </c>
      <c r="M40">
        <f t="shared" si="2"/>
        <v>-2.9802200006088242E-3</v>
      </c>
      <c r="Q40" s="2">
        <f t="shared" si="3"/>
        <v>21393.726000000002</v>
      </c>
    </row>
    <row r="41" spans="1:17" x14ac:dyDescent="0.2">
      <c r="A41" s="61" t="s">
        <v>74</v>
      </c>
      <c r="B41" s="62" t="s">
        <v>31</v>
      </c>
      <c r="C41" s="61">
        <v>36428.756999999998</v>
      </c>
      <c r="E41">
        <f t="shared" si="0"/>
        <v>-19829.50409593714</v>
      </c>
      <c r="F41">
        <f t="shared" si="4"/>
        <v>-19829.5</v>
      </c>
      <c r="G41">
        <f t="shared" si="1"/>
        <v>-1.8054700049106032E-3</v>
      </c>
      <c r="M41">
        <f t="shared" si="2"/>
        <v>-1.8054700049106032E-3</v>
      </c>
      <c r="Q41" s="2">
        <f t="shared" si="3"/>
        <v>21410.256999999998</v>
      </c>
    </row>
    <row r="42" spans="1:17" x14ac:dyDescent="0.2">
      <c r="A42" s="61" t="s">
        <v>74</v>
      </c>
      <c r="B42" s="62" t="s">
        <v>30</v>
      </c>
      <c r="C42" s="61">
        <v>36435.15</v>
      </c>
      <c r="E42">
        <f t="shared" si="0"/>
        <v>-19815.000766568905</v>
      </c>
      <c r="F42">
        <f t="shared" si="4"/>
        <v>-19815</v>
      </c>
      <c r="G42">
        <f t="shared" si="1"/>
        <v>-3.3790000452427194E-4</v>
      </c>
      <c r="M42">
        <f t="shared" si="2"/>
        <v>-3.3790000452427194E-4</v>
      </c>
      <c r="Q42" s="2">
        <f t="shared" si="3"/>
        <v>21416.65</v>
      </c>
    </row>
    <row r="43" spans="1:17" x14ac:dyDescent="0.2">
      <c r="A43" s="61" t="s">
        <v>74</v>
      </c>
      <c r="B43" s="62" t="s">
        <v>31</v>
      </c>
      <c r="C43" s="61">
        <v>36731.578999999998</v>
      </c>
      <c r="E43">
        <f t="shared" si="0"/>
        <v>-19142.514074672396</v>
      </c>
      <c r="F43">
        <f t="shared" si="4"/>
        <v>-19142.5</v>
      </c>
      <c r="G43">
        <f t="shared" si="1"/>
        <v>-6.2040500051807612E-3</v>
      </c>
      <c r="M43">
        <f t="shared" si="2"/>
        <v>-6.2040500051807612E-3</v>
      </c>
      <c r="Q43" s="2">
        <f t="shared" si="3"/>
        <v>21713.078999999998</v>
      </c>
    </row>
    <row r="44" spans="1:17" x14ac:dyDescent="0.2">
      <c r="A44" s="61" t="s">
        <v>74</v>
      </c>
      <c r="B44" s="62" t="s">
        <v>30</v>
      </c>
      <c r="C44" s="61">
        <v>36800.131000000001</v>
      </c>
      <c r="E44">
        <f t="shared" si="0"/>
        <v>-18986.995189195968</v>
      </c>
      <c r="F44">
        <f t="shared" si="4"/>
        <v>-18987</v>
      </c>
      <c r="G44">
        <f t="shared" si="1"/>
        <v>2.1205800003372133E-3</v>
      </c>
      <c r="M44">
        <f t="shared" si="2"/>
        <v>2.1205800003372133E-3</v>
      </c>
      <c r="Q44" s="2">
        <f t="shared" si="3"/>
        <v>21781.631000000001</v>
      </c>
    </row>
    <row r="45" spans="1:17" x14ac:dyDescent="0.2">
      <c r="A45" s="61" t="s">
        <v>152</v>
      </c>
      <c r="B45" s="62" t="s">
        <v>30</v>
      </c>
      <c r="C45" s="61">
        <v>37911.364000000001</v>
      </c>
      <c r="E45">
        <f t="shared" si="0"/>
        <v>-16466.022531000443</v>
      </c>
      <c r="F45">
        <f t="shared" si="4"/>
        <v>-16466</v>
      </c>
      <c r="G45">
        <f t="shared" si="1"/>
        <v>-9.9315600018599071E-3</v>
      </c>
      <c r="M45">
        <f t="shared" si="2"/>
        <v>-9.9315600018599071E-3</v>
      </c>
      <c r="Q45" s="2">
        <f t="shared" si="3"/>
        <v>22892.864000000001</v>
      </c>
    </row>
    <row r="46" spans="1:17" x14ac:dyDescent="0.2">
      <c r="A46" s="61" t="s">
        <v>152</v>
      </c>
      <c r="B46" s="62" t="s">
        <v>31</v>
      </c>
      <c r="C46" s="61">
        <v>37911.587</v>
      </c>
      <c r="E46">
        <f t="shared" si="0"/>
        <v>-16465.516627285586</v>
      </c>
      <c r="F46">
        <f t="shared" si="4"/>
        <v>-16465.5</v>
      </c>
      <c r="G46">
        <f t="shared" si="1"/>
        <v>-7.3292300003231503E-3</v>
      </c>
      <c r="M46">
        <f t="shared" si="2"/>
        <v>-7.3292300003231503E-3</v>
      </c>
      <c r="Q46" s="2">
        <f t="shared" si="3"/>
        <v>22893.087</v>
      </c>
    </row>
    <row r="47" spans="1:17" x14ac:dyDescent="0.2">
      <c r="A47" s="61" t="s">
        <v>91</v>
      </c>
      <c r="B47" s="62" t="s">
        <v>30</v>
      </c>
      <c r="C47" s="61">
        <v>37955.462</v>
      </c>
      <c r="E47">
        <f t="shared" si="0"/>
        <v>-16365.980638543055</v>
      </c>
      <c r="F47">
        <f t="shared" si="4"/>
        <v>-16366</v>
      </c>
      <c r="G47">
        <f t="shared" si="1"/>
        <v>8.5344399994937703E-3</v>
      </c>
      <c r="M47">
        <f t="shared" si="2"/>
        <v>8.5344399994937703E-3</v>
      </c>
      <c r="Q47" s="2">
        <f t="shared" si="3"/>
        <v>22936.962</v>
      </c>
    </row>
    <row r="48" spans="1:17" x14ac:dyDescent="0.2">
      <c r="A48" s="61" t="s">
        <v>91</v>
      </c>
      <c r="B48" s="62" t="s">
        <v>30</v>
      </c>
      <c r="C48" s="61">
        <v>38267.548000000003</v>
      </c>
      <c r="E48">
        <f t="shared" si="0"/>
        <v>-15657.974061159539</v>
      </c>
      <c r="F48">
        <f t="shared" si="4"/>
        <v>-15658</v>
      </c>
      <c r="G48">
        <f t="shared" si="1"/>
        <v>1.1433719999331515E-2</v>
      </c>
      <c r="M48">
        <f t="shared" si="2"/>
        <v>1.1433719999331515E-2</v>
      </c>
      <c r="Q48" s="2">
        <f t="shared" si="3"/>
        <v>23249.048000000003</v>
      </c>
    </row>
    <row r="49" spans="1:21" x14ac:dyDescent="0.2">
      <c r="A49" s="15" t="s">
        <v>28</v>
      </c>
      <c r="B49" s="15"/>
      <c r="C49" s="15">
        <f>43000-0.12</f>
        <v>42999.88</v>
      </c>
      <c r="D49" s="10"/>
      <c r="E49">
        <f t="shared" si="0"/>
        <v>-4922.0801653665503</v>
      </c>
      <c r="F49">
        <f t="shared" si="4"/>
        <v>-4922</v>
      </c>
      <c r="G49">
        <f t="shared" si="1"/>
        <v>-3.533652000623988E-2</v>
      </c>
      <c r="I49">
        <f>G49</f>
        <v>-3.533652000623988E-2</v>
      </c>
      <c r="Q49" s="2">
        <f t="shared" si="3"/>
        <v>27981.379999999997</v>
      </c>
    </row>
    <row r="50" spans="1:21" x14ac:dyDescent="0.2">
      <c r="A50" s="14" t="s">
        <v>36</v>
      </c>
      <c r="B50" s="16" t="s">
        <v>30</v>
      </c>
      <c r="C50" s="15">
        <v>43347.436999999998</v>
      </c>
      <c r="D50" s="10"/>
      <c r="E50">
        <f t="shared" si="0"/>
        <v>-4133.6031365485942</v>
      </c>
      <c r="F50">
        <f t="shared" si="4"/>
        <v>-4133.5</v>
      </c>
      <c r="G50">
        <f t="shared" si="1"/>
        <v>-4.5462110007065348E-2</v>
      </c>
      <c r="I50">
        <f>G50</f>
        <v>-4.5462110007065348E-2</v>
      </c>
      <c r="Q50" s="2">
        <f t="shared" si="3"/>
        <v>28328.936999999998</v>
      </c>
    </row>
    <row r="51" spans="1:21" x14ac:dyDescent="0.2">
      <c r="A51" s="14" t="s">
        <v>37</v>
      </c>
      <c r="B51" s="16"/>
      <c r="C51" s="15">
        <v>43755.442000000003</v>
      </c>
      <c r="D51" s="10"/>
      <c r="E51">
        <f t="shared" si="0"/>
        <v>-3207.9921716050794</v>
      </c>
      <c r="F51">
        <f t="shared" si="4"/>
        <v>-3208</v>
      </c>
      <c r="G51">
        <f t="shared" si="1"/>
        <v>3.4507200034568086E-3</v>
      </c>
      <c r="I51">
        <f>G51</f>
        <v>3.4507200034568086E-3</v>
      </c>
      <c r="Q51" s="2">
        <f t="shared" si="3"/>
        <v>28736.942000000003</v>
      </c>
    </row>
    <row r="52" spans="1:21" x14ac:dyDescent="0.2">
      <c r="A52" s="14" t="s">
        <v>38</v>
      </c>
      <c r="B52" s="16" t="s">
        <v>30</v>
      </c>
      <c r="C52" s="15">
        <v>44438.428999999996</v>
      </c>
      <c r="D52" s="10"/>
      <c r="E52">
        <f t="shared" si="0"/>
        <v>-1658.5497478262942</v>
      </c>
      <c r="F52">
        <f t="shared" si="4"/>
        <v>-1658.5</v>
      </c>
      <c r="G52">
        <f t="shared" si="1"/>
        <v>-2.1928610003669746E-2</v>
      </c>
      <c r="I52">
        <f>G52</f>
        <v>-2.1928610003669746E-2</v>
      </c>
      <c r="Q52" s="2">
        <f t="shared" si="3"/>
        <v>29419.928999999996</v>
      </c>
    </row>
    <row r="53" spans="1:21" x14ac:dyDescent="0.2">
      <c r="A53" s="14" t="s">
        <v>35</v>
      </c>
      <c r="B53" s="14"/>
      <c r="C53" s="14">
        <v>45169.51</v>
      </c>
      <c r="D53" s="5" t="s">
        <v>14</v>
      </c>
      <c r="E53">
        <f t="shared" ref="E53:E80" si="5">+(C53-C$7)/C$8</f>
        <v>0</v>
      </c>
      <c r="F53">
        <f t="shared" si="4"/>
        <v>0</v>
      </c>
      <c r="G53">
        <f t="shared" si="1"/>
        <v>0</v>
      </c>
      <c r="H53">
        <f>+G53</f>
        <v>0</v>
      </c>
      <c r="Q53" s="2">
        <f t="shared" ref="Q53:Q80" si="6">+C53-15018.5</f>
        <v>30151.010000000002</v>
      </c>
    </row>
    <row r="54" spans="1:21" x14ac:dyDescent="0.2">
      <c r="A54" s="15" t="s">
        <v>28</v>
      </c>
      <c r="B54" s="15"/>
      <c r="C54" s="14">
        <v>45196.418799999999</v>
      </c>
      <c r="D54" s="10"/>
      <c r="E54">
        <f t="shared" si="5"/>
        <v>61.046017410250819</v>
      </c>
      <c r="F54">
        <f t="shared" si="4"/>
        <v>61</v>
      </c>
      <c r="G54">
        <f t="shared" si="1"/>
        <v>2.028425999742467E-2</v>
      </c>
      <c r="I54">
        <f>G54</f>
        <v>2.028425999742467E-2</v>
      </c>
      <c r="Q54" s="2">
        <f t="shared" si="6"/>
        <v>30177.918799999999</v>
      </c>
    </row>
    <row r="55" spans="1:21" x14ac:dyDescent="0.2">
      <c r="A55" s="15" t="s">
        <v>28</v>
      </c>
      <c r="B55" s="15"/>
      <c r="C55" s="15">
        <f>47700+0.18</f>
        <v>47700.18</v>
      </c>
      <c r="D55" s="10"/>
      <c r="E55">
        <f t="shared" si="5"/>
        <v>5741.1450856082065</v>
      </c>
      <c r="F55">
        <f t="shared" si="4"/>
        <v>5741</v>
      </c>
      <c r="G55">
        <f t="shared" si="1"/>
        <v>6.3953059994673822E-2</v>
      </c>
      <c r="I55">
        <f>G55</f>
        <v>6.3953059994673822E-2</v>
      </c>
      <c r="Q55" s="2">
        <f t="shared" si="6"/>
        <v>32681.68</v>
      </c>
    </row>
    <row r="56" spans="1:21" x14ac:dyDescent="0.2">
      <c r="A56" s="61" t="s">
        <v>186</v>
      </c>
      <c r="B56" s="62" t="s">
        <v>31</v>
      </c>
      <c r="C56" s="61">
        <v>49480.5219</v>
      </c>
      <c r="E56">
        <f t="shared" si="5"/>
        <v>9780.0759418191628</v>
      </c>
      <c r="F56">
        <f t="shared" si="4"/>
        <v>9780</v>
      </c>
      <c r="G56">
        <f t="shared" si="1"/>
        <v>3.3474799995019566E-2</v>
      </c>
      <c r="M56">
        <f>G56</f>
        <v>3.3474799995019566E-2</v>
      </c>
      <c r="O56">
        <f t="shared" ref="O56:O80" ca="1" si="7">+C$11+C$12*F56</f>
        <v>3.3696121527804254E-2</v>
      </c>
      <c r="Q56" s="2">
        <f t="shared" si="6"/>
        <v>34462.0219</v>
      </c>
    </row>
    <row r="57" spans="1:21" x14ac:dyDescent="0.2">
      <c r="A57" s="61" t="s">
        <v>186</v>
      </c>
      <c r="B57" s="62" t="s">
        <v>31</v>
      </c>
      <c r="C57" s="61">
        <v>49484.489800000003</v>
      </c>
      <c r="E57">
        <f t="shared" si="5"/>
        <v>9789.0776250039326</v>
      </c>
      <c r="F57">
        <f t="shared" si="4"/>
        <v>9789</v>
      </c>
      <c r="G57">
        <f t="shared" si="1"/>
        <v>3.4216740001284052E-2</v>
      </c>
      <c r="M57">
        <f>G57</f>
        <v>3.4216740001284052E-2</v>
      </c>
      <c r="O57">
        <f t="shared" ca="1" si="7"/>
        <v>3.3762159590390084E-2</v>
      </c>
      <c r="Q57" s="2">
        <f t="shared" si="6"/>
        <v>34465.989800000003</v>
      </c>
    </row>
    <row r="58" spans="1:21" x14ac:dyDescent="0.2">
      <c r="A58" s="61" t="s">
        <v>186</v>
      </c>
      <c r="B58" s="62" t="s">
        <v>30</v>
      </c>
      <c r="C58" s="61">
        <v>49486.473599999998</v>
      </c>
      <c r="E58">
        <f t="shared" si="5"/>
        <v>9793.5781263023237</v>
      </c>
      <c r="F58">
        <f t="shared" si="4"/>
        <v>9793.5</v>
      </c>
      <c r="G58">
        <f t="shared" si="1"/>
        <v>3.4437709997291677E-2</v>
      </c>
      <c r="M58">
        <f>G58</f>
        <v>3.4437709997291677E-2</v>
      </c>
      <c r="O58">
        <f t="shared" ca="1" si="7"/>
        <v>3.3795178621682992E-2</v>
      </c>
      <c r="Q58" s="2">
        <f t="shared" si="6"/>
        <v>34467.973599999998</v>
      </c>
    </row>
    <row r="59" spans="1:21" x14ac:dyDescent="0.2">
      <c r="A59" s="17" t="s">
        <v>29</v>
      </c>
      <c r="B59" s="16" t="s">
        <v>30</v>
      </c>
      <c r="C59" s="15">
        <v>50642.396000000001</v>
      </c>
      <c r="D59" s="10">
        <v>8.0000000000000004E-4</v>
      </c>
      <c r="E59">
        <f t="shared" si="5"/>
        <v>12415.934342681569</v>
      </c>
      <c r="F59">
        <f t="shared" si="4"/>
        <v>12416</v>
      </c>
      <c r="O59">
        <f t="shared" ca="1" si="7"/>
        <v>5.3037936302939903E-2</v>
      </c>
      <c r="Q59" s="2">
        <f t="shared" si="6"/>
        <v>35623.896000000001</v>
      </c>
      <c r="U59" s="13">
        <v>-2.8941440003109165E-2</v>
      </c>
    </row>
    <row r="60" spans="1:21" x14ac:dyDescent="0.2">
      <c r="A60" s="61" t="s">
        <v>197</v>
      </c>
      <c r="B60" s="62" t="s">
        <v>30</v>
      </c>
      <c r="C60" s="61">
        <v>50642.696499999998</v>
      </c>
      <c r="E60">
        <f t="shared" si="5"/>
        <v>12416.616064952039</v>
      </c>
      <c r="F60">
        <f t="shared" si="4"/>
        <v>12416.5</v>
      </c>
      <c r="G60">
        <f t="shared" ref="G60:G80" si="8">+C60-(C$7+F60*C$8)</f>
        <v>5.1160889997845516E-2</v>
      </c>
      <c r="M60">
        <f>G60</f>
        <v>5.1160889997845516E-2</v>
      </c>
      <c r="O60">
        <f t="shared" ca="1" si="7"/>
        <v>5.3041605084194671E-2</v>
      </c>
      <c r="Q60" s="2">
        <f t="shared" si="6"/>
        <v>35624.196499999998</v>
      </c>
    </row>
    <row r="61" spans="1:21" x14ac:dyDescent="0.2">
      <c r="A61" s="17" t="s">
        <v>29</v>
      </c>
      <c r="B61" s="16" t="s">
        <v>30</v>
      </c>
      <c r="C61" s="15">
        <v>50727.334900000002</v>
      </c>
      <c r="D61" s="10">
        <v>5.0000000000000001E-4</v>
      </c>
      <c r="E61">
        <f t="shared" si="5"/>
        <v>12608.628984144887</v>
      </c>
      <c r="F61">
        <f t="shared" si="4"/>
        <v>12608.5</v>
      </c>
      <c r="G61">
        <f t="shared" si="8"/>
        <v>5.6855609997001011E-2</v>
      </c>
      <c r="I61">
        <f>G61</f>
        <v>5.6855609997001011E-2</v>
      </c>
      <c r="O61">
        <f t="shared" ca="1" si="7"/>
        <v>5.4450417086025493E-2</v>
      </c>
      <c r="Q61" s="2">
        <f t="shared" si="6"/>
        <v>35708.834900000002</v>
      </c>
    </row>
    <row r="62" spans="1:21" x14ac:dyDescent="0.2">
      <c r="A62" s="11" t="s">
        <v>32</v>
      </c>
      <c r="B62" s="16" t="s">
        <v>31</v>
      </c>
      <c r="C62" s="18">
        <v>51420.498599999999</v>
      </c>
      <c r="D62" s="12">
        <v>2.0000000000000001E-4</v>
      </c>
      <c r="E62">
        <f t="shared" si="5"/>
        <v>14181.158539470942</v>
      </c>
      <c r="F62">
        <f t="shared" si="4"/>
        <v>14181</v>
      </c>
      <c r="G62">
        <f t="shared" si="8"/>
        <v>6.988345999707235E-2</v>
      </c>
      <c r="J62">
        <f>G62</f>
        <v>6.988345999707235E-2</v>
      </c>
      <c r="O62">
        <f t="shared" ca="1" si="7"/>
        <v>6.5988734132270105E-2</v>
      </c>
      <c r="Q62" s="2">
        <f t="shared" si="6"/>
        <v>36401.998599999999</v>
      </c>
    </row>
    <row r="63" spans="1:21" x14ac:dyDescent="0.2">
      <c r="A63" s="14" t="s">
        <v>39</v>
      </c>
      <c r="B63" s="14"/>
      <c r="C63" s="17">
        <v>51680.572</v>
      </c>
      <c r="D63" s="12">
        <v>1.5E-3</v>
      </c>
      <c r="E63">
        <f t="shared" si="5"/>
        <v>14771.167952909844</v>
      </c>
      <c r="F63">
        <f t="shared" si="4"/>
        <v>14771</v>
      </c>
      <c r="G63">
        <f t="shared" si="8"/>
        <v>7.4032860000443179E-2</v>
      </c>
      <c r="K63">
        <f>G63</f>
        <v>7.4032860000443179E-2</v>
      </c>
      <c r="O63">
        <f t="shared" ca="1" si="7"/>
        <v>7.0317896012896064E-2</v>
      </c>
      <c r="Q63" s="2">
        <f t="shared" si="6"/>
        <v>36662.072</v>
      </c>
    </row>
    <row r="64" spans="1:21" x14ac:dyDescent="0.2">
      <c r="A64" s="61" t="s">
        <v>216</v>
      </c>
      <c r="B64" s="62" t="s">
        <v>31</v>
      </c>
      <c r="C64" s="61">
        <v>52086.551299999999</v>
      </c>
      <c r="E64">
        <f t="shared" si="5"/>
        <v>15692.183361103585</v>
      </c>
      <c r="F64">
        <f t="shared" si="4"/>
        <v>15692</v>
      </c>
      <c r="G64">
        <f t="shared" si="8"/>
        <v>8.0824719996599015E-2</v>
      </c>
      <c r="M64">
        <f>G64</f>
        <v>8.0824719996599015E-2</v>
      </c>
      <c r="O64">
        <f t="shared" ca="1" si="7"/>
        <v>7.7075791084178294E-2</v>
      </c>
      <c r="Q64" s="2">
        <f t="shared" si="6"/>
        <v>37068.051299999999</v>
      </c>
    </row>
    <row r="65" spans="1:17" x14ac:dyDescent="0.2">
      <c r="A65" s="14" t="s">
        <v>39</v>
      </c>
      <c r="B65" s="14"/>
      <c r="C65" s="17">
        <v>52147.382700000002</v>
      </c>
      <c r="D65" s="12">
        <v>1.6999999999999999E-3</v>
      </c>
      <c r="E65">
        <f t="shared" si="5"/>
        <v>15830.18708863846</v>
      </c>
      <c r="F65">
        <f t="shared" si="4"/>
        <v>15830</v>
      </c>
      <c r="G65">
        <f t="shared" si="8"/>
        <v>8.2467799998994451E-2</v>
      </c>
      <c r="K65">
        <f>G65</f>
        <v>8.2467799998994451E-2</v>
      </c>
      <c r="O65">
        <f t="shared" ca="1" si="7"/>
        <v>7.8088374710494193E-2</v>
      </c>
      <c r="Q65" s="2">
        <f t="shared" si="6"/>
        <v>37128.882700000002</v>
      </c>
    </row>
    <row r="66" spans="1:17" x14ac:dyDescent="0.2">
      <c r="A66" s="23" t="s">
        <v>41</v>
      </c>
      <c r="B66" s="5" t="s">
        <v>30</v>
      </c>
      <c r="C66" s="21">
        <v>52795.573700000001</v>
      </c>
      <c r="D66" s="22">
        <v>1E-3</v>
      </c>
      <c r="E66">
        <f t="shared" si="5"/>
        <v>17300.690383886544</v>
      </c>
      <c r="F66">
        <f t="shared" si="4"/>
        <v>17300.5</v>
      </c>
      <c r="G66">
        <f t="shared" si="8"/>
        <v>8.3920329998363741E-2</v>
      </c>
      <c r="J66">
        <f>G66</f>
        <v>8.3920329998363741E-2</v>
      </c>
      <c r="O66">
        <f t="shared" ca="1" si="7"/>
        <v>8.8878260380766197E-2</v>
      </c>
      <c r="Q66" s="2">
        <f t="shared" si="6"/>
        <v>37777.073700000001</v>
      </c>
    </row>
    <row r="67" spans="1:17" x14ac:dyDescent="0.2">
      <c r="A67" s="20" t="s">
        <v>40</v>
      </c>
      <c r="B67" s="15"/>
      <c r="C67" s="15">
        <v>52889.249199999998</v>
      </c>
      <c r="D67" s="10">
        <v>1E-4</v>
      </c>
      <c r="E67">
        <f t="shared" si="5"/>
        <v>17513.205107839836</v>
      </c>
      <c r="F67">
        <f t="shared" si="4"/>
        <v>17513</v>
      </c>
      <c r="G67">
        <f t="shared" si="8"/>
        <v>9.0410579992749263E-2</v>
      </c>
      <c r="K67">
        <f>G67</f>
        <v>9.0410579992749263E-2</v>
      </c>
      <c r="O67">
        <f t="shared" ca="1" si="7"/>
        <v>9.0437492414042489E-2</v>
      </c>
      <c r="Q67" s="2">
        <f t="shared" si="6"/>
        <v>37870.749199999998</v>
      </c>
    </row>
    <row r="68" spans="1:17" x14ac:dyDescent="0.2">
      <c r="A68" s="10" t="s">
        <v>44</v>
      </c>
      <c r="B68" s="5" t="s">
        <v>30</v>
      </c>
      <c r="C68" s="24">
        <v>53612.384899999997</v>
      </c>
      <c r="D68" s="24">
        <v>5.0000000000000001E-3</v>
      </c>
      <c r="E68">
        <f t="shared" si="5"/>
        <v>19153.729937344608</v>
      </c>
      <c r="F68">
        <f t="shared" si="4"/>
        <v>19153.5</v>
      </c>
      <c r="G68">
        <f t="shared" si="8"/>
        <v>0.10135530999832554</v>
      </c>
      <c r="K68">
        <f>G68</f>
        <v>0.10135530999832554</v>
      </c>
      <c r="O68">
        <f t="shared" ca="1" si="7"/>
        <v>0.10247476371093552</v>
      </c>
      <c r="Q68" s="2">
        <f t="shared" si="6"/>
        <v>38593.884899999997</v>
      </c>
    </row>
    <row r="69" spans="1:17" x14ac:dyDescent="0.2">
      <c r="A69" s="43" t="s">
        <v>44</v>
      </c>
      <c r="B69" s="44"/>
      <c r="C69" s="45">
        <v>53648.3102</v>
      </c>
      <c r="D69" s="45">
        <v>4.4000000000000003E-3</v>
      </c>
      <c r="E69">
        <f t="shared" si="5"/>
        <v>19235.231025808935</v>
      </c>
      <c r="F69">
        <f t="shared" si="4"/>
        <v>19235</v>
      </c>
      <c r="G69">
        <f t="shared" si="8"/>
        <v>0.10183510000206297</v>
      </c>
      <c r="K69">
        <f>G69</f>
        <v>0.10183510000206297</v>
      </c>
      <c r="O69">
        <f t="shared" ca="1" si="7"/>
        <v>0.10307277505546265</v>
      </c>
      <c r="Q69" s="2">
        <f t="shared" si="6"/>
        <v>38629.8102</v>
      </c>
    </row>
    <row r="70" spans="1:17" x14ac:dyDescent="0.2">
      <c r="A70" s="45" t="s">
        <v>51</v>
      </c>
      <c r="B70" s="46" t="s">
        <v>30</v>
      </c>
      <c r="C70" s="45">
        <v>54639.449330000003</v>
      </c>
      <c r="D70" s="45">
        <v>1.6000000000000001E-3</v>
      </c>
      <c r="E70">
        <f t="shared" si="5"/>
        <v>21483.755545147102</v>
      </c>
      <c r="F70" s="40">
        <f>ROUND(2*E70,0)/2-0.5</f>
        <v>21483.5</v>
      </c>
      <c r="G70">
        <f t="shared" si="8"/>
        <v>0.1126431099983165</v>
      </c>
      <c r="L70">
        <f>G70</f>
        <v>0.1126431099983165</v>
      </c>
      <c r="O70">
        <f t="shared" ca="1" si="7"/>
        <v>0.1195712843581533</v>
      </c>
      <c r="Q70" s="2">
        <f t="shared" si="6"/>
        <v>39620.949330000003</v>
      </c>
    </row>
    <row r="71" spans="1:17" x14ac:dyDescent="0.2">
      <c r="A71" s="45" t="s">
        <v>51</v>
      </c>
      <c r="B71" s="46" t="s">
        <v>30</v>
      </c>
      <c r="C71" s="45">
        <v>54639.452830000002</v>
      </c>
      <c r="D71" s="45">
        <v>1.6000000000000001E-3</v>
      </c>
      <c r="E71">
        <f t="shared" si="5"/>
        <v>21483.763485339932</v>
      </c>
      <c r="F71" s="40">
        <f t="shared" ref="F71:F80" si="9">ROUND(2*E71,0)/2-0.5</f>
        <v>21483.5</v>
      </c>
      <c r="G71">
        <f t="shared" si="8"/>
        <v>0.11614310999721056</v>
      </c>
      <c r="L71">
        <f>G71</f>
        <v>0.11614310999721056</v>
      </c>
      <c r="O71">
        <f t="shared" ca="1" si="7"/>
        <v>0.1195712843581533</v>
      </c>
      <c r="Q71" s="2">
        <f t="shared" si="6"/>
        <v>39620.952830000002</v>
      </c>
    </row>
    <row r="72" spans="1:17" x14ac:dyDescent="0.2">
      <c r="A72" s="45" t="s">
        <v>51</v>
      </c>
      <c r="B72" s="46" t="s">
        <v>31</v>
      </c>
      <c r="C72" s="45">
        <v>54675.377520000002</v>
      </c>
      <c r="D72" s="45">
        <v>1.4E-3</v>
      </c>
      <c r="E72">
        <f t="shared" si="5"/>
        <v>21565.26318994207</v>
      </c>
      <c r="F72" s="40">
        <f t="shared" si="9"/>
        <v>21565</v>
      </c>
      <c r="G72">
        <f t="shared" si="8"/>
        <v>0.116012899998168</v>
      </c>
      <c r="L72">
        <f>G72</f>
        <v>0.116012899998168</v>
      </c>
      <c r="O72">
        <f t="shared" ca="1" si="7"/>
        <v>0.12016929570268044</v>
      </c>
      <c r="Q72" s="2">
        <f t="shared" si="6"/>
        <v>39656.877520000002</v>
      </c>
    </row>
    <row r="73" spans="1:17" x14ac:dyDescent="0.2">
      <c r="A73" s="45" t="s">
        <v>51</v>
      </c>
      <c r="B73" s="46" t="s">
        <v>30</v>
      </c>
      <c r="C73" s="45">
        <v>54675.598310000001</v>
      </c>
      <c r="D73" s="45">
        <v>1.4E-2</v>
      </c>
      <c r="E73">
        <f t="shared" si="5"/>
        <v>21565.764079992314</v>
      </c>
      <c r="F73" s="40">
        <f t="shared" si="9"/>
        <v>21565.5</v>
      </c>
      <c r="G73">
        <f t="shared" si="8"/>
        <v>0.11640523000096437</v>
      </c>
      <c r="L73">
        <f>G73</f>
        <v>0.11640523000096437</v>
      </c>
      <c r="O73">
        <f t="shared" ca="1" si="7"/>
        <v>0.1201729644839352</v>
      </c>
      <c r="Q73" s="2">
        <f t="shared" si="6"/>
        <v>39657.098310000001</v>
      </c>
    </row>
    <row r="74" spans="1:17" x14ac:dyDescent="0.2">
      <c r="A74" s="61" t="s">
        <v>265</v>
      </c>
      <c r="B74" s="62" t="s">
        <v>30</v>
      </c>
      <c r="C74" s="61">
        <v>55384.411399999997</v>
      </c>
      <c r="E74">
        <f t="shared" si="5"/>
        <v>23173.796256557511</v>
      </c>
      <c r="F74" s="40">
        <f t="shared" si="9"/>
        <v>23173.5</v>
      </c>
      <c r="G74">
        <f t="shared" si="8"/>
        <v>0.13058850999368588</v>
      </c>
      <c r="M74">
        <f>G74</f>
        <v>0.13058850999368588</v>
      </c>
      <c r="O74">
        <f t="shared" ca="1" si="7"/>
        <v>0.13197176499926833</v>
      </c>
      <c r="Q74" s="2">
        <f t="shared" si="6"/>
        <v>40365.911399999997</v>
      </c>
    </row>
    <row r="75" spans="1:17" x14ac:dyDescent="0.2">
      <c r="A75" s="43" t="s">
        <v>54</v>
      </c>
      <c r="B75" s="43"/>
      <c r="C75" s="45">
        <v>55461.551099999997</v>
      </c>
      <c r="D75" s="45">
        <v>2.0000000000000001E-4</v>
      </c>
      <c r="E75">
        <f t="shared" si="5"/>
        <v>23348.797426034485</v>
      </c>
      <c r="F75" s="40">
        <f t="shared" si="9"/>
        <v>23348.5</v>
      </c>
      <c r="G75">
        <f t="shared" si="8"/>
        <v>0.13110400999721605</v>
      </c>
      <c r="K75">
        <f>G75</f>
        <v>0.13110400999721605</v>
      </c>
      <c r="O75">
        <f t="shared" ca="1" si="7"/>
        <v>0.13325583843843702</v>
      </c>
      <c r="Q75" s="2">
        <f t="shared" si="6"/>
        <v>40443.051099999997</v>
      </c>
    </row>
    <row r="76" spans="1:17" x14ac:dyDescent="0.2">
      <c r="A76" s="61" t="s">
        <v>276</v>
      </c>
      <c r="B76" s="62" t="s">
        <v>30</v>
      </c>
      <c r="C76" s="61">
        <v>55857.395799999998</v>
      </c>
      <c r="E76">
        <f t="shared" si="5"/>
        <v>24246.82121185763</v>
      </c>
      <c r="F76" s="40">
        <f t="shared" si="9"/>
        <v>24246.5</v>
      </c>
      <c r="G76">
        <f t="shared" si="8"/>
        <v>0.14158868999948027</v>
      </c>
      <c r="M76">
        <f>G76</f>
        <v>0.14158868999948027</v>
      </c>
      <c r="O76">
        <f t="shared" ca="1" si="7"/>
        <v>0.13984496957199993</v>
      </c>
      <c r="Q76" s="2">
        <f t="shared" si="6"/>
        <v>40838.895799999998</v>
      </c>
    </row>
    <row r="77" spans="1:17" x14ac:dyDescent="0.2">
      <c r="A77" s="45" t="s">
        <v>53</v>
      </c>
      <c r="B77" s="46" t="s">
        <v>31</v>
      </c>
      <c r="C77" s="45">
        <v>56093.886299999998</v>
      </c>
      <c r="D77" s="45">
        <v>4.0000000000000002E-4</v>
      </c>
      <c r="E77">
        <f t="shared" si="5"/>
        <v>24783.329832842599</v>
      </c>
      <c r="F77" s="40">
        <f t="shared" si="9"/>
        <v>24783</v>
      </c>
      <c r="G77">
        <f t="shared" si="8"/>
        <v>0.14538877999439137</v>
      </c>
      <c r="L77">
        <f>G77</f>
        <v>0.14538877999439137</v>
      </c>
      <c r="O77">
        <f t="shared" ca="1" si="7"/>
        <v>0.14378157185836576</v>
      </c>
      <c r="Q77" s="2">
        <f t="shared" si="6"/>
        <v>41075.386299999998</v>
      </c>
    </row>
    <row r="78" spans="1:17" x14ac:dyDescent="0.2">
      <c r="A78" s="47" t="s">
        <v>55</v>
      </c>
      <c r="B78" s="46"/>
      <c r="C78" s="47">
        <v>56934.275399999999</v>
      </c>
      <c r="D78" s="47">
        <v>2.9999999999999997E-4</v>
      </c>
      <c r="E78">
        <f t="shared" si="5"/>
        <v>26689.858835621984</v>
      </c>
      <c r="F78" s="40">
        <f t="shared" si="9"/>
        <v>26689.5</v>
      </c>
      <c r="G78">
        <f t="shared" si="8"/>
        <v>0.15817306999815628</v>
      </c>
      <c r="K78">
        <f>G78</f>
        <v>0.15817306999815628</v>
      </c>
      <c r="O78">
        <f t="shared" ca="1" si="7"/>
        <v>0.15777063478279524</v>
      </c>
      <c r="Q78" s="2">
        <f t="shared" si="6"/>
        <v>41915.775399999999</v>
      </c>
    </row>
    <row r="79" spans="1:17" x14ac:dyDescent="0.2">
      <c r="A79" s="47" t="s">
        <v>55</v>
      </c>
      <c r="B79" s="46"/>
      <c r="C79" s="47">
        <v>56934.497600000002</v>
      </c>
      <c r="D79" s="47">
        <v>2.9999999999999997E-4</v>
      </c>
      <c r="E79">
        <f t="shared" si="5"/>
        <v>26690.362924435638</v>
      </c>
      <c r="F79" s="40">
        <f t="shared" si="9"/>
        <v>26690</v>
      </c>
      <c r="G79">
        <f t="shared" si="8"/>
        <v>0.15997540000535082</v>
      </c>
      <c r="K79">
        <f>G79</f>
        <v>0.15997540000535082</v>
      </c>
      <c r="O79">
        <f t="shared" ca="1" si="7"/>
        <v>0.15777430356405003</v>
      </c>
      <c r="Q79" s="2">
        <f t="shared" si="6"/>
        <v>41915.997600000002</v>
      </c>
    </row>
    <row r="80" spans="1:17" x14ac:dyDescent="0.2">
      <c r="A80" s="41" t="s">
        <v>56</v>
      </c>
      <c r="B80" s="42"/>
      <c r="C80" s="41">
        <v>57131.534099999997</v>
      </c>
      <c r="D80" s="41">
        <v>1E-4</v>
      </c>
      <c r="E80">
        <f t="shared" si="5"/>
        <v>27137.365154540872</v>
      </c>
      <c r="F80" s="40">
        <f t="shared" si="9"/>
        <v>27137</v>
      </c>
      <c r="G80">
        <f t="shared" si="8"/>
        <v>0.16095841999776894</v>
      </c>
      <c r="M80">
        <f>G80</f>
        <v>0.16095841999776894</v>
      </c>
      <c r="O80">
        <f t="shared" ca="1" si="7"/>
        <v>0.16105419400581239</v>
      </c>
      <c r="Q80" s="2">
        <f t="shared" si="6"/>
        <v>42113.034099999997</v>
      </c>
    </row>
    <row r="81" spans="1:17" x14ac:dyDescent="0.2">
      <c r="A81" s="64" t="s">
        <v>300</v>
      </c>
      <c r="B81" s="65" t="s">
        <v>31</v>
      </c>
      <c r="C81" s="66">
        <v>59386.460599999999</v>
      </c>
      <c r="D81" s="64">
        <v>3.5000000000000001E-3</v>
      </c>
      <c r="E81">
        <f t="shared" ref="E81:E85" si="10">+(C81-C$7)/C$8</f>
        <v>32252.951222215728</v>
      </c>
      <c r="F81" s="67">
        <f t="shared" ref="F81:F85" si="11">ROUND(2*E81,0)/2-0.5</f>
        <v>32252.5</v>
      </c>
      <c r="G81">
        <f t="shared" ref="G81:G85" si="12">+C81-(C$7+F81*C$8)</f>
        <v>0.1988966499993694</v>
      </c>
      <c r="M81">
        <f t="shared" ref="M81:M85" si="13">G81</f>
        <v>0.1988966499993694</v>
      </c>
      <c r="O81">
        <f t="shared" ref="O81:O85" ca="1" si="14">+C$11+C$12*F81</f>
        <v>0.19858949502334139</v>
      </c>
      <c r="Q81" s="2">
        <f t="shared" ref="Q81:Q85" si="15">+C81-15018.5</f>
        <v>44367.960599999999</v>
      </c>
    </row>
    <row r="82" spans="1:17" x14ac:dyDescent="0.2">
      <c r="A82" s="64" t="s">
        <v>300</v>
      </c>
      <c r="B82" s="65" t="s">
        <v>31</v>
      </c>
      <c r="C82" s="66">
        <v>59393.515200000002</v>
      </c>
      <c r="D82" s="64">
        <v>3.5000000000000001E-3</v>
      </c>
      <c r="E82">
        <f t="shared" si="10"/>
        <v>32268.955474892271</v>
      </c>
      <c r="F82" s="67">
        <f t="shared" si="11"/>
        <v>32268.5</v>
      </c>
      <c r="G82">
        <f t="shared" si="12"/>
        <v>0.20077121000213083</v>
      </c>
      <c r="M82">
        <f t="shared" si="13"/>
        <v>0.20077121000213083</v>
      </c>
      <c r="O82">
        <f t="shared" ca="1" si="14"/>
        <v>0.19870689602349395</v>
      </c>
      <c r="Q82" s="2">
        <f t="shared" si="15"/>
        <v>44375.015200000002</v>
      </c>
    </row>
    <row r="83" spans="1:17" x14ac:dyDescent="0.2">
      <c r="A83" s="64" t="s">
        <v>300</v>
      </c>
      <c r="B83" s="65" t="s">
        <v>31</v>
      </c>
      <c r="C83" s="66">
        <v>59410.486599999997</v>
      </c>
      <c r="D83" s="64">
        <v>3.5000000000000001E-3</v>
      </c>
      <c r="E83">
        <f t="shared" si="10"/>
        <v>32307.457243082459</v>
      </c>
      <c r="F83" s="67">
        <f t="shared" si="11"/>
        <v>32307</v>
      </c>
      <c r="G83">
        <f t="shared" si="12"/>
        <v>0.20155061999685131</v>
      </c>
      <c r="M83">
        <f t="shared" si="13"/>
        <v>0.20155061999685131</v>
      </c>
      <c r="O83">
        <f t="shared" ca="1" si="14"/>
        <v>0.19898939218011108</v>
      </c>
      <c r="Q83" s="2">
        <f t="shared" si="15"/>
        <v>44391.986599999997</v>
      </c>
    </row>
    <row r="84" spans="1:17" x14ac:dyDescent="0.2">
      <c r="A84" s="64" t="s">
        <v>300</v>
      </c>
      <c r="B84" s="65" t="s">
        <v>31</v>
      </c>
      <c r="C84" s="66">
        <v>59462.500099999997</v>
      </c>
      <c r="D84" s="64">
        <v>3.5000000000000001E-3</v>
      </c>
      <c r="E84">
        <f t="shared" si="10"/>
        <v>32425.456448790941</v>
      </c>
      <c r="F84" s="67">
        <f t="shared" si="11"/>
        <v>32425</v>
      </c>
      <c r="G84">
        <f t="shared" si="12"/>
        <v>0.20120049999241019</v>
      </c>
      <c r="M84">
        <f t="shared" si="13"/>
        <v>0.20120049999241019</v>
      </c>
      <c r="O84">
        <f t="shared" ca="1" si="14"/>
        <v>0.19985522455623628</v>
      </c>
      <c r="Q84" s="2">
        <f t="shared" si="15"/>
        <v>44444.000099999997</v>
      </c>
    </row>
    <row r="85" spans="1:17" x14ac:dyDescent="0.2">
      <c r="A85" s="64" t="s">
        <v>300</v>
      </c>
      <c r="B85" s="65" t="s">
        <v>31</v>
      </c>
      <c r="C85" s="66">
        <v>59467.347699999998</v>
      </c>
      <c r="D85" s="64">
        <v>3.5000000000000001E-3</v>
      </c>
      <c r="E85">
        <f t="shared" si="10"/>
        <v>32436.453842728912</v>
      </c>
      <c r="F85" s="67">
        <f t="shared" si="11"/>
        <v>32436</v>
      </c>
      <c r="G85">
        <f t="shared" si="12"/>
        <v>0.2000517599954037</v>
      </c>
      <c r="M85">
        <f t="shared" si="13"/>
        <v>0.2000517599954037</v>
      </c>
      <c r="O85">
        <f t="shared" ca="1" si="14"/>
        <v>0.19993593774384116</v>
      </c>
      <c r="Q85" s="2">
        <f t="shared" si="15"/>
        <v>44448.847699999998</v>
      </c>
    </row>
    <row r="86" spans="1:17" x14ac:dyDescent="0.2">
      <c r="B86" s="5"/>
    </row>
    <row r="87" spans="1:17" x14ac:dyDescent="0.2">
      <c r="B87" s="5"/>
    </row>
    <row r="88" spans="1:17" x14ac:dyDescent="0.2">
      <c r="B88" s="5"/>
    </row>
    <row r="89" spans="1:17" x14ac:dyDescent="0.2">
      <c r="B89" s="5"/>
    </row>
    <row r="90" spans="1:17" x14ac:dyDescent="0.2">
      <c r="B90" s="5"/>
    </row>
    <row r="91" spans="1:17" x14ac:dyDescent="0.2">
      <c r="B91" s="5"/>
    </row>
    <row r="92" spans="1:17" x14ac:dyDescent="0.2">
      <c r="B92" s="5"/>
    </row>
    <row r="93" spans="1:17" x14ac:dyDescent="0.2">
      <c r="B93" s="5"/>
    </row>
    <row r="94" spans="1:17" x14ac:dyDescent="0.2">
      <c r="B94" s="5"/>
    </row>
    <row r="95" spans="1:17" x14ac:dyDescent="0.2">
      <c r="B95" s="5"/>
    </row>
    <row r="96" spans="1:17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5"/>
  <sheetViews>
    <sheetView topLeftCell="A19" workbookViewId="0">
      <selection activeCell="A28" sqref="A28:C66"/>
    </sheetView>
  </sheetViews>
  <sheetFormatPr defaultRowHeight="12.75" x14ac:dyDescent="0.2"/>
  <cols>
    <col min="1" max="1" width="19.7109375" style="24" customWidth="1"/>
    <col min="2" max="2" width="4.42578125" style="10" customWidth="1"/>
    <col min="3" max="3" width="12.7109375" style="2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8" t="s">
        <v>57</v>
      </c>
      <c r="I1" s="49" t="s">
        <v>58</v>
      </c>
      <c r="J1" s="50" t="s">
        <v>59</v>
      </c>
    </row>
    <row r="2" spans="1:16" x14ac:dyDescent="0.2">
      <c r="I2" s="51" t="s">
        <v>60</v>
      </c>
      <c r="J2" s="52" t="s">
        <v>61</v>
      </c>
    </row>
    <row r="3" spans="1:16" x14ac:dyDescent="0.2">
      <c r="A3" s="53" t="s">
        <v>62</v>
      </c>
      <c r="I3" s="51" t="s">
        <v>63</v>
      </c>
      <c r="J3" s="52" t="s">
        <v>64</v>
      </c>
    </row>
    <row r="4" spans="1:16" x14ac:dyDescent="0.2">
      <c r="I4" s="51" t="s">
        <v>65</v>
      </c>
      <c r="J4" s="52" t="s">
        <v>64</v>
      </c>
    </row>
    <row r="5" spans="1:16" ht="13.5" thickBot="1" x14ac:dyDescent="0.25">
      <c r="I5" s="54" t="s">
        <v>66</v>
      </c>
      <c r="J5" s="55" t="s">
        <v>67</v>
      </c>
    </row>
    <row r="10" spans="1:16" ht="13.5" thickBot="1" x14ac:dyDescent="0.25"/>
    <row r="11" spans="1:16" ht="12.75" customHeight="1" thickBot="1" x14ac:dyDescent="0.25">
      <c r="A11" s="24" t="str">
        <f t="shared" ref="A11:A42" si="0">P11</f>
        <v> BBS 34 </v>
      </c>
      <c r="B11" s="5" t="str">
        <f t="shared" ref="B11:B42" si="1">IF(H11=INT(H11),"I","II")</f>
        <v>II</v>
      </c>
      <c r="C11" s="24">
        <f t="shared" ref="C11:C42" si="2">1*G11</f>
        <v>43347.436999999998</v>
      </c>
      <c r="D11" s="10" t="str">
        <f t="shared" ref="D11:D42" si="3">VLOOKUP(F11,I$1:J$5,2,FALSE)</f>
        <v>vis</v>
      </c>
      <c r="E11" s="56">
        <f>VLOOKUP(C11,Active!C$21:E$969,3,FALSE)</f>
        <v>-4133.6031365485942</v>
      </c>
      <c r="F11" s="5" t="s">
        <v>66</v>
      </c>
      <c r="G11" s="10" t="str">
        <f t="shared" ref="G11:G42" si="4">MID(I11,3,LEN(I11)-3)</f>
        <v>43347.437</v>
      </c>
      <c r="H11" s="24">
        <f t="shared" ref="H11:H42" si="5">1*K11</f>
        <v>-4133.5</v>
      </c>
      <c r="I11" s="57" t="s">
        <v>161</v>
      </c>
      <c r="J11" s="58" t="s">
        <v>162</v>
      </c>
      <c r="K11" s="57">
        <v>-4133.5</v>
      </c>
      <c r="L11" s="57" t="s">
        <v>163</v>
      </c>
      <c r="M11" s="58" t="s">
        <v>131</v>
      </c>
      <c r="N11" s="58"/>
      <c r="O11" s="59" t="s">
        <v>164</v>
      </c>
      <c r="P11" s="59" t="s">
        <v>165</v>
      </c>
    </row>
    <row r="12" spans="1:16" ht="12.75" customHeight="1" thickBot="1" x14ac:dyDescent="0.25">
      <c r="A12" s="24" t="str">
        <f t="shared" si="0"/>
        <v> BBS 39 </v>
      </c>
      <c r="B12" s="5" t="str">
        <f t="shared" si="1"/>
        <v>I</v>
      </c>
      <c r="C12" s="24">
        <f t="shared" si="2"/>
        <v>43755.442000000003</v>
      </c>
      <c r="D12" s="10" t="str">
        <f t="shared" si="3"/>
        <v>vis</v>
      </c>
      <c r="E12" s="56">
        <f>VLOOKUP(C12,Active!C$21:E$969,3,FALSE)</f>
        <v>-3207.9921716050794</v>
      </c>
      <c r="F12" s="5" t="s">
        <v>66</v>
      </c>
      <c r="G12" s="10" t="str">
        <f t="shared" si="4"/>
        <v>43755.442</v>
      </c>
      <c r="H12" s="24">
        <f t="shared" si="5"/>
        <v>-3208</v>
      </c>
      <c r="I12" s="57" t="s">
        <v>166</v>
      </c>
      <c r="J12" s="58" t="s">
        <v>167</v>
      </c>
      <c r="K12" s="57">
        <v>-3208</v>
      </c>
      <c r="L12" s="57" t="s">
        <v>168</v>
      </c>
      <c r="M12" s="58" t="s">
        <v>131</v>
      </c>
      <c r="N12" s="58"/>
      <c r="O12" s="59" t="s">
        <v>164</v>
      </c>
      <c r="P12" s="59" t="s">
        <v>169</v>
      </c>
    </row>
    <row r="13" spans="1:16" ht="12.75" customHeight="1" thickBot="1" x14ac:dyDescent="0.25">
      <c r="A13" s="24" t="str">
        <f t="shared" si="0"/>
        <v> BBS 49 </v>
      </c>
      <c r="B13" s="5" t="str">
        <f t="shared" si="1"/>
        <v>II</v>
      </c>
      <c r="C13" s="24">
        <f t="shared" si="2"/>
        <v>44438.428999999996</v>
      </c>
      <c r="D13" s="10" t="str">
        <f t="shared" si="3"/>
        <v>vis</v>
      </c>
      <c r="E13" s="56">
        <f>VLOOKUP(C13,Active!C$21:E$969,3,FALSE)</f>
        <v>-1658.5497478262942</v>
      </c>
      <c r="F13" s="5" t="s">
        <v>66</v>
      </c>
      <c r="G13" s="10" t="str">
        <f t="shared" si="4"/>
        <v>44438.429</v>
      </c>
      <c r="H13" s="24">
        <f t="shared" si="5"/>
        <v>-1658.5</v>
      </c>
      <c r="I13" s="57" t="s">
        <v>170</v>
      </c>
      <c r="J13" s="58" t="s">
        <v>171</v>
      </c>
      <c r="K13" s="57">
        <v>-1658.5</v>
      </c>
      <c r="L13" s="57" t="s">
        <v>172</v>
      </c>
      <c r="M13" s="58" t="s">
        <v>131</v>
      </c>
      <c r="N13" s="58"/>
      <c r="O13" s="59" t="s">
        <v>164</v>
      </c>
      <c r="P13" s="59" t="s">
        <v>173</v>
      </c>
    </row>
    <row r="14" spans="1:16" ht="12.75" customHeight="1" thickBot="1" x14ac:dyDescent="0.25">
      <c r="A14" s="24" t="str">
        <f t="shared" si="0"/>
        <v>IBVS 2344 </v>
      </c>
      <c r="B14" s="5" t="str">
        <f t="shared" si="1"/>
        <v>I</v>
      </c>
      <c r="C14" s="24">
        <f t="shared" si="2"/>
        <v>45169.51</v>
      </c>
      <c r="D14" s="10" t="str">
        <f t="shared" si="3"/>
        <v>vis</v>
      </c>
      <c r="E14" s="56">
        <f>VLOOKUP(C14,Active!C$21:E$969,3,FALSE)</f>
        <v>0</v>
      </c>
      <c r="F14" s="5" t="s">
        <v>66</v>
      </c>
      <c r="G14" s="10" t="str">
        <f t="shared" si="4"/>
        <v>45169.5100</v>
      </c>
      <c r="H14" s="24">
        <f t="shared" si="5"/>
        <v>0</v>
      </c>
      <c r="I14" s="57" t="s">
        <v>174</v>
      </c>
      <c r="J14" s="58" t="s">
        <v>175</v>
      </c>
      <c r="K14" s="57">
        <v>0</v>
      </c>
      <c r="L14" s="57" t="s">
        <v>176</v>
      </c>
      <c r="M14" s="58" t="s">
        <v>177</v>
      </c>
      <c r="N14" s="58" t="s">
        <v>178</v>
      </c>
      <c r="O14" s="59" t="s">
        <v>179</v>
      </c>
      <c r="P14" s="60" t="s">
        <v>180</v>
      </c>
    </row>
    <row r="15" spans="1:16" ht="12.75" customHeight="1" thickBot="1" x14ac:dyDescent="0.25">
      <c r="A15" s="24" t="str">
        <f t="shared" si="0"/>
        <v>BAVM 241 (=IBVS 6157) </v>
      </c>
      <c r="B15" s="5" t="str">
        <f t="shared" si="1"/>
        <v>I</v>
      </c>
      <c r="C15" s="24">
        <f t="shared" si="2"/>
        <v>57131.534099999997</v>
      </c>
      <c r="D15" s="10" t="str">
        <f t="shared" si="3"/>
        <v>vis</v>
      </c>
      <c r="E15" s="56">
        <f>VLOOKUP(C15,Active!C$21:E$969,3,FALSE)</f>
        <v>27137.365154540872</v>
      </c>
      <c r="F15" s="5" t="s">
        <v>66</v>
      </c>
      <c r="G15" s="10" t="str">
        <f t="shared" si="4"/>
        <v>57131.5341</v>
      </c>
      <c r="H15" s="24">
        <f t="shared" si="5"/>
        <v>27137</v>
      </c>
      <c r="I15" s="57" t="s">
        <v>291</v>
      </c>
      <c r="J15" s="58" t="s">
        <v>292</v>
      </c>
      <c r="K15" s="57" t="s">
        <v>293</v>
      </c>
      <c r="L15" s="57" t="s">
        <v>294</v>
      </c>
      <c r="M15" s="58" t="s">
        <v>236</v>
      </c>
      <c r="N15" s="58" t="s">
        <v>184</v>
      </c>
      <c r="O15" s="59" t="s">
        <v>295</v>
      </c>
      <c r="P15" s="60" t="s">
        <v>296</v>
      </c>
    </row>
    <row r="16" spans="1:16" ht="12.75" customHeight="1" thickBot="1" x14ac:dyDescent="0.25">
      <c r="A16" s="24" t="str">
        <f t="shared" si="0"/>
        <v> BBS 116 </v>
      </c>
      <c r="B16" s="5" t="str">
        <f t="shared" si="1"/>
        <v>II</v>
      </c>
      <c r="C16" s="24">
        <f t="shared" si="2"/>
        <v>50727.334900000002</v>
      </c>
      <c r="D16" s="10" t="str">
        <f t="shared" si="3"/>
        <v>vis</v>
      </c>
      <c r="E16" s="56">
        <f>VLOOKUP(C16,Active!C$21:E$969,3,FALSE)</f>
        <v>12608.628984144887</v>
      </c>
      <c r="F16" s="5" t="s">
        <v>66</v>
      </c>
      <c r="G16" s="10" t="str">
        <f t="shared" si="4"/>
        <v>50727.3349</v>
      </c>
      <c r="H16" s="24">
        <f t="shared" si="5"/>
        <v>12608.5</v>
      </c>
      <c r="I16" s="57" t="s">
        <v>198</v>
      </c>
      <c r="J16" s="58" t="s">
        <v>199</v>
      </c>
      <c r="K16" s="57">
        <v>12608.5</v>
      </c>
      <c r="L16" s="57" t="s">
        <v>200</v>
      </c>
      <c r="M16" s="58" t="s">
        <v>177</v>
      </c>
      <c r="N16" s="58" t="s">
        <v>178</v>
      </c>
      <c r="O16" s="59" t="s">
        <v>201</v>
      </c>
      <c r="P16" s="59" t="s">
        <v>202</v>
      </c>
    </row>
    <row r="17" spans="1:16" ht="12.75" customHeight="1" thickBot="1" x14ac:dyDescent="0.25">
      <c r="A17" s="24" t="str">
        <f t="shared" si="0"/>
        <v>BAVM 133 </v>
      </c>
      <c r="B17" s="5" t="str">
        <f t="shared" si="1"/>
        <v>I</v>
      </c>
      <c r="C17" s="24">
        <f t="shared" si="2"/>
        <v>51420.498599999999</v>
      </c>
      <c r="D17" s="10" t="str">
        <f t="shared" si="3"/>
        <v>vis</v>
      </c>
      <c r="E17" s="56">
        <f>VLOOKUP(C17,Active!C$21:E$969,3,FALSE)</f>
        <v>14181.158539470942</v>
      </c>
      <c r="F17" s="5" t="s">
        <v>66</v>
      </c>
      <c r="G17" s="10" t="str">
        <f t="shared" si="4"/>
        <v>51420.4986</v>
      </c>
      <c r="H17" s="24">
        <f t="shared" si="5"/>
        <v>14181</v>
      </c>
      <c r="I17" s="57" t="s">
        <v>203</v>
      </c>
      <c r="J17" s="58" t="s">
        <v>204</v>
      </c>
      <c r="K17" s="57">
        <v>14181</v>
      </c>
      <c r="L17" s="57" t="s">
        <v>205</v>
      </c>
      <c r="M17" s="58" t="s">
        <v>177</v>
      </c>
      <c r="N17" s="58" t="s">
        <v>184</v>
      </c>
      <c r="O17" s="59" t="s">
        <v>206</v>
      </c>
      <c r="P17" s="60" t="s">
        <v>207</v>
      </c>
    </row>
    <row r="18" spans="1:16" ht="12.75" customHeight="1" thickBot="1" x14ac:dyDescent="0.25">
      <c r="A18" s="24" t="str">
        <f t="shared" si="0"/>
        <v>BAVM 152 </v>
      </c>
      <c r="B18" s="5" t="str">
        <f t="shared" si="1"/>
        <v>I</v>
      </c>
      <c r="C18" s="24">
        <f t="shared" si="2"/>
        <v>51680.572</v>
      </c>
      <c r="D18" s="10" t="str">
        <f t="shared" si="3"/>
        <v>vis</v>
      </c>
      <c r="E18" s="56">
        <f>VLOOKUP(C18,Active!C$21:E$969,3,FALSE)</f>
        <v>14771.167952909844</v>
      </c>
      <c r="F18" s="5" t="s">
        <v>66</v>
      </c>
      <c r="G18" s="10" t="str">
        <f t="shared" si="4"/>
        <v>51680.5720</v>
      </c>
      <c r="H18" s="24">
        <f t="shared" si="5"/>
        <v>14771</v>
      </c>
      <c r="I18" s="57" t="s">
        <v>208</v>
      </c>
      <c r="J18" s="58" t="s">
        <v>209</v>
      </c>
      <c r="K18" s="57">
        <v>14771</v>
      </c>
      <c r="L18" s="57" t="s">
        <v>210</v>
      </c>
      <c r="M18" s="58" t="s">
        <v>177</v>
      </c>
      <c r="N18" s="58" t="s">
        <v>184</v>
      </c>
      <c r="O18" s="59" t="s">
        <v>211</v>
      </c>
      <c r="P18" s="60" t="s">
        <v>212</v>
      </c>
    </row>
    <row r="19" spans="1:16" ht="12.75" customHeight="1" thickBot="1" x14ac:dyDescent="0.25">
      <c r="A19" s="24" t="str">
        <f t="shared" si="0"/>
        <v>BAVM 152 </v>
      </c>
      <c r="B19" s="5" t="str">
        <f t="shared" si="1"/>
        <v>I</v>
      </c>
      <c r="C19" s="24">
        <f t="shared" si="2"/>
        <v>52147.382700000002</v>
      </c>
      <c r="D19" s="10" t="str">
        <f t="shared" si="3"/>
        <v>vis</v>
      </c>
      <c r="E19" s="56">
        <f>VLOOKUP(C19,Active!C$21:E$969,3,FALSE)</f>
        <v>15830.18708863846</v>
      </c>
      <c r="F19" s="5" t="s">
        <v>66</v>
      </c>
      <c r="G19" s="10" t="str">
        <f t="shared" si="4"/>
        <v>52147.3827</v>
      </c>
      <c r="H19" s="24">
        <f t="shared" si="5"/>
        <v>15830</v>
      </c>
      <c r="I19" s="57" t="s">
        <v>217</v>
      </c>
      <c r="J19" s="58" t="s">
        <v>218</v>
      </c>
      <c r="K19" s="57">
        <v>15830</v>
      </c>
      <c r="L19" s="57" t="s">
        <v>219</v>
      </c>
      <c r="M19" s="58" t="s">
        <v>177</v>
      </c>
      <c r="N19" s="58" t="s">
        <v>184</v>
      </c>
      <c r="O19" s="59" t="s">
        <v>220</v>
      </c>
      <c r="P19" s="60" t="s">
        <v>212</v>
      </c>
    </row>
    <row r="20" spans="1:16" ht="12.75" customHeight="1" thickBot="1" x14ac:dyDescent="0.25">
      <c r="A20" s="24" t="str">
        <f t="shared" si="0"/>
        <v>BAVM 172 </v>
      </c>
      <c r="B20" s="5" t="str">
        <f t="shared" si="1"/>
        <v>II</v>
      </c>
      <c r="C20" s="24">
        <f t="shared" si="2"/>
        <v>52795.573700000001</v>
      </c>
      <c r="D20" s="10" t="str">
        <f t="shared" si="3"/>
        <v>vis</v>
      </c>
      <c r="E20" s="56">
        <f>VLOOKUP(C20,Active!C$21:E$969,3,FALSE)</f>
        <v>17300.690383886544</v>
      </c>
      <c r="F20" s="5" t="s">
        <v>66</v>
      </c>
      <c r="G20" s="10" t="str">
        <f t="shared" si="4"/>
        <v>52795.5737</v>
      </c>
      <c r="H20" s="24">
        <f t="shared" si="5"/>
        <v>17300.5</v>
      </c>
      <c r="I20" s="57" t="s">
        <v>221</v>
      </c>
      <c r="J20" s="58" t="s">
        <v>222</v>
      </c>
      <c r="K20" s="57">
        <v>17300.5</v>
      </c>
      <c r="L20" s="57" t="s">
        <v>223</v>
      </c>
      <c r="M20" s="58" t="s">
        <v>177</v>
      </c>
      <c r="N20" s="58" t="s">
        <v>224</v>
      </c>
      <c r="O20" s="59" t="s">
        <v>206</v>
      </c>
      <c r="P20" s="60" t="s">
        <v>225</v>
      </c>
    </row>
    <row r="21" spans="1:16" ht="12.75" customHeight="1" thickBot="1" x14ac:dyDescent="0.25">
      <c r="A21" s="24" t="str">
        <f t="shared" si="0"/>
        <v>IBVS 5592 </v>
      </c>
      <c r="B21" s="5" t="str">
        <f t="shared" si="1"/>
        <v>I</v>
      </c>
      <c r="C21" s="24">
        <f t="shared" si="2"/>
        <v>52889.249199999998</v>
      </c>
      <c r="D21" s="10" t="str">
        <f t="shared" si="3"/>
        <v>vis</v>
      </c>
      <c r="E21" s="56">
        <f>VLOOKUP(C21,Active!C$21:E$969,3,FALSE)</f>
        <v>17513.205107839836</v>
      </c>
      <c r="F21" s="5" t="s">
        <v>66</v>
      </c>
      <c r="G21" s="10" t="str">
        <f t="shared" si="4"/>
        <v>52889.2492</v>
      </c>
      <c r="H21" s="24">
        <f t="shared" si="5"/>
        <v>17513</v>
      </c>
      <c r="I21" s="57" t="s">
        <v>226</v>
      </c>
      <c r="J21" s="58" t="s">
        <v>227</v>
      </c>
      <c r="K21" s="57" t="s">
        <v>228</v>
      </c>
      <c r="L21" s="57" t="s">
        <v>229</v>
      </c>
      <c r="M21" s="58" t="s">
        <v>177</v>
      </c>
      <c r="N21" s="58" t="s">
        <v>178</v>
      </c>
      <c r="O21" s="59" t="s">
        <v>230</v>
      </c>
      <c r="P21" s="60" t="s">
        <v>231</v>
      </c>
    </row>
    <row r="22" spans="1:16" ht="12.75" customHeight="1" thickBot="1" x14ac:dyDescent="0.25">
      <c r="A22" s="24" t="str">
        <f t="shared" si="0"/>
        <v>BAVM 178 </v>
      </c>
      <c r="B22" s="5" t="str">
        <f t="shared" si="1"/>
        <v>II</v>
      </c>
      <c r="C22" s="24">
        <f t="shared" si="2"/>
        <v>53612.384899999997</v>
      </c>
      <c r="D22" s="10" t="str">
        <f t="shared" si="3"/>
        <v>vis</v>
      </c>
      <c r="E22" s="56">
        <f>VLOOKUP(C22,Active!C$21:E$969,3,FALSE)</f>
        <v>19153.729937344608</v>
      </c>
      <c r="F22" s="5" t="s">
        <v>66</v>
      </c>
      <c r="G22" s="10" t="str">
        <f t="shared" si="4"/>
        <v>53612.3849</v>
      </c>
      <c r="H22" s="24">
        <f t="shared" si="5"/>
        <v>19153.5</v>
      </c>
      <c r="I22" s="57" t="s">
        <v>232</v>
      </c>
      <c r="J22" s="58" t="s">
        <v>233</v>
      </c>
      <c r="K22" s="57" t="s">
        <v>234</v>
      </c>
      <c r="L22" s="57" t="s">
        <v>235</v>
      </c>
      <c r="M22" s="58" t="s">
        <v>236</v>
      </c>
      <c r="N22" s="58" t="s">
        <v>224</v>
      </c>
      <c r="O22" s="59" t="s">
        <v>237</v>
      </c>
      <c r="P22" s="60" t="s">
        <v>238</v>
      </c>
    </row>
    <row r="23" spans="1:16" ht="12.75" customHeight="1" thickBot="1" x14ac:dyDescent="0.25">
      <c r="A23" s="24" t="str">
        <f t="shared" si="0"/>
        <v>BAVM 178 </v>
      </c>
      <c r="B23" s="5" t="str">
        <f t="shared" si="1"/>
        <v>I</v>
      </c>
      <c r="C23" s="24">
        <f t="shared" si="2"/>
        <v>53648.3102</v>
      </c>
      <c r="D23" s="10" t="str">
        <f t="shared" si="3"/>
        <v>vis</v>
      </c>
      <c r="E23" s="56">
        <f>VLOOKUP(C23,Active!C$21:E$969,3,FALSE)</f>
        <v>19235.231025808935</v>
      </c>
      <c r="F23" s="5" t="s">
        <v>66</v>
      </c>
      <c r="G23" s="10" t="str">
        <f t="shared" si="4"/>
        <v>53648.3102</v>
      </c>
      <c r="H23" s="24">
        <f t="shared" si="5"/>
        <v>19235</v>
      </c>
      <c r="I23" s="57" t="s">
        <v>239</v>
      </c>
      <c r="J23" s="58" t="s">
        <v>240</v>
      </c>
      <c r="K23" s="57" t="s">
        <v>241</v>
      </c>
      <c r="L23" s="57" t="s">
        <v>242</v>
      </c>
      <c r="M23" s="58" t="s">
        <v>236</v>
      </c>
      <c r="N23" s="58" t="s">
        <v>224</v>
      </c>
      <c r="O23" s="59" t="s">
        <v>237</v>
      </c>
      <c r="P23" s="60" t="s">
        <v>238</v>
      </c>
    </row>
    <row r="24" spans="1:16" ht="12.75" customHeight="1" thickBot="1" x14ac:dyDescent="0.25">
      <c r="A24" s="24" t="str">
        <f t="shared" si="0"/>
        <v>BAVM 215 </v>
      </c>
      <c r="B24" s="5" t="str">
        <f t="shared" si="1"/>
        <v>II</v>
      </c>
      <c r="C24" s="24">
        <f t="shared" si="2"/>
        <v>55461.551099999997</v>
      </c>
      <c r="D24" s="10" t="str">
        <f t="shared" si="3"/>
        <v>vis</v>
      </c>
      <c r="E24" s="56">
        <f>VLOOKUP(C24,Active!C$21:E$969,3,FALSE)</f>
        <v>23348.797426034485</v>
      </c>
      <c r="F24" s="5" t="s">
        <v>66</v>
      </c>
      <c r="G24" s="10" t="str">
        <f t="shared" si="4"/>
        <v>55461.5511</v>
      </c>
      <c r="H24" s="24">
        <f t="shared" si="5"/>
        <v>23348.5</v>
      </c>
      <c r="I24" s="57" t="s">
        <v>266</v>
      </c>
      <c r="J24" s="58" t="s">
        <v>267</v>
      </c>
      <c r="K24" s="57" t="s">
        <v>268</v>
      </c>
      <c r="L24" s="57" t="s">
        <v>269</v>
      </c>
      <c r="M24" s="58" t="s">
        <v>236</v>
      </c>
      <c r="N24" s="58" t="s">
        <v>224</v>
      </c>
      <c r="O24" s="59" t="s">
        <v>220</v>
      </c>
      <c r="P24" s="60" t="s">
        <v>270</v>
      </c>
    </row>
    <row r="25" spans="1:16" ht="12.75" customHeight="1" thickBot="1" x14ac:dyDescent="0.25">
      <c r="A25" s="24" t="str">
        <f t="shared" si="0"/>
        <v>IBVS 6029 </v>
      </c>
      <c r="B25" s="5" t="str">
        <f t="shared" si="1"/>
        <v>I</v>
      </c>
      <c r="C25" s="24">
        <f t="shared" si="2"/>
        <v>56093.886299999998</v>
      </c>
      <c r="D25" s="10" t="str">
        <f t="shared" si="3"/>
        <v>vis</v>
      </c>
      <c r="E25" s="56">
        <f>VLOOKUP(C25,Active!C$21:E$969,3,FALSE)</f>
        <v>24783.329832842599</v>
      </c>
      <c r="F25" s="5" t="s">
        <v>66</v>
      </c>
      <c r="G25" s="10" t="str">
        <f t="shared" si="4"/>
        <v>56093.8863</v>
      </c>
      <c r="H25" s="24">
        <f t="shared" si="5"/>
        <v>24783</v>
      </c>
      <c r="I25" s="57" t="s">
        <v>277</v>
      </c>
      <c r="J25" s="58" t="s">
        <v>278</v>
      </c>
      <c r="K25" s="57" t="s">
        <v>279</v>
      </c>
      <c r="L25" s="57" t="s">
        <v>280</v>
      </c>
      <c r="M25" s="58" t="s">
        <v>236</v>
      </c>
      <c r="N25" s="58" t="s">
        <v>66</v>
      </c>
      <c r="O25" s="59" t="s">
        <v>164</v>
      </c>
      <c r="P25" s="60" t="s">
        <v>281</v>
      </c>
    </row>
    <row r="26" spans="1:16" ht="12.75" customHeight="1" thickBot="1" x14ac:dyDescent="0.25">
      <c r="A26" s="24" t="str">
        <f t="shared" si="0"/>
        <v>BAVM 239 </v>
      </c>
      <c r="B26" s="5" t="str">
        <f t="shared" si="1"/>
        <v>II</v>
      </c>
      <c r="C26" s="24">
        <f t="shared" si="2"/>
        <v>56934.275399999999</v>
      </c>
      <c r="D26" s="10" t="str">
        <f t="shared" si="3"/>
        <v>vis</v>
      </c>
      <c r="E26" s="56">
        <f>VLOOKUP(C26,Active!C$21:E$969,3,FALSE)</f>
        <v>26689.858835621984</v>
      </c>
      <c r="F26" s="5" t="s">
        <v>66</v>
      </c>
      <c r="G26" s="10" t="str">
        <f t="shared" si="4"/>
        <v>56934.2754</v>
      </c>
      <c r="H26" s="24">
        <f t="shared" si="5"/>
        <v>26689.5</v>
      </c>
      <c r="I26" s="57" t="s">
        <v>282</v>
      </c>
      <c r="J26" s="58" t="s">
        <v>283</v>
      </c>
      <c r="K26" s="57" t="s">
        <v>284</v>
      </c>
      <c r="L26" s="57" t="s">
        <v>285</v>
      </c>
      <c r="M26" s="58" t="s">
        <v>236</v>
      </c>
      <c r="N26" s="58" t="s">
        <v>224</v>
      </c>
      <c r="O26" s="59" t="s">
        <v>275</v>
      </c>
      <c r="P26" s="60" t="s">
        <v>286</v>
      </c>
    </row>
    <row r="27" spans="1:16" ht="12.75" customHeight="1" thickBot="1" x14ac:dyDescent="0.25">
      <c r="A27" s="24" t="str">
        <f t="shared" si="0"/>
        <v>BAVM 239 </v>
      </c>
      <c r="B27" s="5" t="str">
        <f t="shared" si="1"/>
        <v>I</v>
      </c>
      <c r="C27" s="24">
        <f t="shared" si="2"/>
        <v>56934.497600000002</v>
      </c>
      <c r="D27" s="10" t="str">
        <f t="shared" si="3"/>
        <v>vis</v>
      </c>
      <c r="E27" s="56">
        <f>VLOOKUP(C27,Active!C$21:E$969,3,FALSE)</f>
        <v>26690.362924435638</v>
      </c>
      <c r="F27" s="5" t="s">
        <v>66</v>
      </c>
      <c r="G27" s="10" t="str">
        <f t="shared" si="4"/>
        <v>56934.4976</v>
      </c>
      <c r="H27" s="24">
        <f t="shared" si="5"/>
        <v>26690</v>
      </c>
      <c r="I27" s="57" t="s">
        <v>287</v>
      </c>
      <c r="J27" s="58" t="s">
        <v>288</v>
      </c>
      <c r="K27" s="57" t="s">
        <v>289</v>
      </c>
      <c r="L27" s="57" t="s">
        <v>290</v>
      </c>
      <c r="M27" s="58" t="s">
        <v>236</v>
      </c>
      <c r="N27" s="58" t="s">
        <v>224</v>
      </c>
      <c r="O27" s="59" t="s">
        <v>275</v>
      </c>
      <c r="P27" s="60" t="s">
        <v>286</v>
      </c>
    </row>
    <row r="28" spans="1:16" ht="12.75" customHeight="1" thickBot="1" x14ac:dyDescent="0.25">
      <c r="A28" s="24" t="str">
        <f t="shared" si="0"/>
        <v> AC 213.24 </v>
      </c>
      <c r="B28" s="5" t="str">
        <f t="shared" si="1"/>
        <v>II</v>
      </c>
      <c r="C28" s="24">
        <f t="shared" si="2"/>
        <v>15253.371999999999</v>
      </c>
      <c r="D28" s="10" t="str">
        <f t="shared" si="3"/>
        <v>vis</v>
      </c>
      <c r="E28" s="56">
        <f>VLOOKUP(C28,Active!C$21:E$969,3,FALSE)</f>
        <v>-67868.544163828963</v>
      </c>
      <c r="F28" s="5" t="s">
        <v>66</v>
      </c>
      <c r="G28" s="10" t="str">
        <f t="shared" si="4"/>
        <v>15253.372</v>
      </c>
      <c r="H28" s="24">
        <f t="shared" si="5"/>
        <v>-67868.5</v>
      </c>
      <c r="I28" s="57" t="s">
        <v>69</v>
      </c>
      <c r="J28" s="58" t="s">
        <v>70</v>
      </c>
      <c r="K28" s="57">
        <v>-67868.5</v>
      </c>
      <c r="L28" s="57" t="s">
        <v>71</v>
      </c>
      <c r="M28" s="58" t="s">
        <v>72</v>
      </c>
      <c r="N28" s="58"/>
      <c r="O28" s="59" t="s">
        <v>73</v>
      </c>
      <c r="P28" s="59" t="s">
        <v>74</v>
      </c>
    </row>
    <row r="29" spans="1:16" ht="12.75" customHeight="1" thickBot="1" x14ac:dyDescent="0.25">
      <c r="A29" s="24" t="str">
        <f t="shared" si="0"/>
        <v> AC 213.24 </v>
      </c>
      <c r="B29" s="5" t="str">
        <f t="shared" si="1"/>
        <v>I</v>
      </c>
      <c r="C29" s="24">
        <f t="shared" si="2"/>
        <v>18287.118999999999</v>
      </c>
      <c r="D29" s="10" t="str">
        <f t="shared" si="3"/>
        <v>vis</v>
      </c>
      <c r="E29" s="56">
        <f>VLOOKUP(C29,Active!C$21:E$969,3,FALSE)</f>
        <v>-60986.105252383124</v>
      </c>
      <c r="F29" s="5" t="s">
        <v>66</v>
      </c>
      <c r="G29" s="10" t="str">
        <f t="shared" si="4"/>
        <v>18287.119</v>
      </c>
      <c r="H29" s="24">
        <f t="shared" si="5"/>
        <v>-60986</v>
      </c>
      <c r="I29" s="57" t="s">
        <v>75</v>
      </c>
      <c r="J29" s="58" t="s">
        <v>76</v>
      </c>
      <c r="K29" s="57">
        <v>-60986</v>
      </c>
      <c r="L29" s="57" t="s">
        <v>77</v>
      </c>
      <c r="M29" s="58" t="s">
        <v>72</v>
      </c>
      <c r="N29" s="58"/>
      <c r="O29" s="59" t="s">
        <v>73</v>
      </c>
      <c r="P29" s="59" t="s">
        <v>74</v>
      </c>
    </row>
    <row r="30" spans="1:16" ht="12.75" customHeight="1" thickBot="1" x14ac:dyDescent="0.25">
      <c r="A30" s="24" t="str">
        <f t="shared" si="0"/>
        <v> AC 213.24 </v>
      </c>
      <c r="B30" s="5" t="str">
        <f t="shared" si="1"/>
        <v>II</v>
      </c>
      <c r="C30" s="24">
        <f t="shared" si="2"/>
        <v>27902.753000000001</v>
      </c>
      <c r="D30" s="10" t="str">
        <f t="shared" si="3"/>
        <v>vis</v>
      </c>
      <c r="E30" s="56">
        <f>VLOOKUP(C30,Active!C$21:E$969,3,FALSE)</f>
        <v>-39171.822914461853</v>
      </c>
      <c r="F30" s="5" t="s">
        <v>66</v>
      </c>
      <c r="G30" s="10" t="str">
        <f t="shared" si="4"/>
        <v>27902.753</v>
      </c>
      <c r="H30" s="24">
        <f t="shared" si="5"/>
        <v>-39171.5</v>
      </c>
      <c r="I30" s="57" t="s">
        <v>78</v>
      </c>
      <c r="J30" s="58" t="s">
        <v>79</v>
      </c>
      <c r="K30" s="57">
        <v>-39171.5</v>
      </c>
      <c r="L30" s="57" t="s">
        <v>80</v>
      </c>
      <c r="M30" s="58" t="s">
        <v>72</v>
      </c>
      <c r="N30" s="58"/>
      <c r="O30" s="59" t="s">
        <v>73</v>
      </c>
      <c r="P30" s="59" t="s">
        <v>74</v>
      </c>
    </row>
    <row r="31" spans="1:16" ht="12.75" customHeight="1" thickBot="1" x14ac:dyDescent="0.25">
      <c r="A31" s="24" t="str">
        <f t="shared" si="0"/>
        <v> AC 213.24 </v>
      </c>
      <c r="B31" s="5" t="str">
        <f t="shared" si="1"/>
        <v>II</v>
      </c>
      <c r="C31" s="24">
        <f t="shared" si="2"/>
        <v>28749.945</v>
      </c>
      <c r="D31" s="10" t="str">
        <f t="shared" si="3"/>
        <v>vis</v>
      </c>
      <c r="E31" s="56">
        <f>VLOOKUP(C31,Active!C$21:E$969,3,FALSE)</f>
        <v>-37249.860672302035</v>
      </c>
      <c r="F31" s="5" t="s">
        <v>66</v>
      </c>
      <c r="G31" s="10" t="str">
        <f t="shared" si="4"/>
        <v>28749.945</v>
      </c>
      <c r="H31" s="24">
        <f t="shared" si="5"/>
        <v>-37249.5</v>
      </c>
      <c r="I31" s="57" t="s">
        <v>81</v>
      </c>
      <c r="J31" s="58" t="s">
        <v>82</v>
      </c>
      <c r="K31" s="57">
        <v>-37249.5</v>
      </c>
      <c r="L31" s="57" t="s">
        <v>83</v>
      </c>
      <c r="M31" s="58" t="s">
        <v>72</v>
      </c>
      <c r="N31" s="58"/>
      <c r="O31" s="59" t="s">
        <v>73</v>
      </c>
      <c r="P31" s="59" t="s">
        <v>74</v>
      </c>
    </row>
    <row r="32" spans="1:16" ht="12.75" customHeight="1" thickBot="1" x14ac:dyDescent="0.25">
      <c r="A32" s="24" t="str">
        <f t="shared" si="0"/>
        <v> AC 213.24 </v>
      </c>
      <c r="B32" s="5" t="str">
        <f t="shared" si="1"/>
        <v>I</v>
      </c>
      <c r="C32" s="24">
        <f t="shared" si="2"/>
        <v>30606.345000000001</v>
      </c>
      <c r="D32" s="10" t="str">
        <f t="shared" si="3"/>
        <v>vis</v>
      </c>
      <c r="E32" s="56">
        <f>VLOOKUP(C32,Active!C$21:E$969,3,FALSE)</f>
        <v>-33038.382393062508</v>
      </c>
      <c r="F32" s="5" t="s">
        <v>66</v>
      </c>
      <c r="G32" s="10" t="str">
        <f t="shared" si="4"/>
        <v>30606.345</v>
      </c>
      <c r="H32" s="24">
        <f t="shared" si="5"/>
        <v>-33038</v>
      </c>
      <c r="I32" s="57" t="s">
        <v>84</v>
      </c>
      <c r="J32" s="58" t="s">
        <v>85</v>
      </c>
      <c r="K32" s="57">
        <v>-33038</v>
      </c>
      <c r="L32" s="57" t="s">
        <v>86</v>
      </c>
      <c r="M32" s="58" t="s">
        <v>72</v>
      </c>
      <c r="N32" s="58"/>
      <c r="O32" s="59" t="s">
        <v>73</v>
      </c>
      <c r="P32" s="59" t="s">
        <v>74</v>
      </c>
    </row>
    <row r="33" spans="1:16" ht="12.75" customHeight="1" thickBot="1" x14ac:dyDescent="0.25">
      <c r="A33" s="24" t="str">
        <f t="shared" si="0"/>
        <v> RIA 6.595 </v>
      </c>
      <c r="B33" s="5" t="str">
        <f t="shared" si="1"/>
        <v>II</v>
      </c>
      <c r="C33" s="24">
        <f t="shared" si="2"/>
        <v>33447.428999999996</v>
      </c>
      <c r="D33" s="10" t="str">
        <f t="shared" si="3"/>
        <v>vis</v>
      </c>
      <c r="E33" s="56">
        <f>VLOOKUP(C33,Active!C$21:E$969,3,FALSE)</f>
        <v>-26593.023873619004</v>
      </c>
      <c r="F33" s="5" t="s">
        <v>66</v>
      </c>
      <c r="G33" s="10" t="str">
        <f t="shared" si="4"/>
        <v>33447.429</v>
      </c>
      <c r="H33" s="24">
        <f t="shared" si="5"/>
        <v>-26592.5</v>
      </c>
      <c r="I33" s="57" t="s">
        <v>87</v>
      </c>
      <c r="J33" s="58" t="s">
        <v>88</v>
      </c>
      <c r="K33" s="57">
        <v>-26592.5</v>
      </c>
      <c r="L33" s="57" t="s">
        <v>89</v>
      </c>
      <c r="M33" s="58" t="s">
        <v>68</v>
      </c>
      <c r="N33" s="58"/>
      <c r="O33" s="59" t="s">
        <v>90</v>
      </c>
      <c r="P33" s="59" t="s">
        <v>91</v>
      </c>
    </row>
    <row r="34" spans="1:16" ht="12.75" customHeight="1" thickBot="1" x14ac:dyDescent="0.25">
      <c r="A34" s="24" t="str">
        <f t="shared" si="0"/>
        <v> RIA 6.595 </v>
      </c>
      <c r="B34" s="5" t="str">
        <f t="shared" si="1"/>
        <v>II</v>
      </c>
      <c r="C34" s="24">
        <f t="shared" si="2"/>
        <v>33590.296000000002</v>
      </c>
      <c r="D34" s="10" t="str">
        <f t="shared" si="3"/>
        <v>vis</v>
      </c>
      <c r="E34" s="56">
        <f>VLOOKUP(C34,Active!C$21:E$969,3,FALSE)</f>
        <v>-26268.912008008072</v>
      </c>
      <c r="F34" s="5" t="s">
        <v>66</v>
      </c>
      <c r="G34" s="10" t="str">
        <f t="shared" si="4"/>
        <v>33590.296</v>
      </c>
      <c r="H34" s="24">
        <f t="shared" si="5"/>
        <v>-26268.5</v>
      </c>
      <c r="I34" s="57" t="s">
        <v>92</v>
      </c>
      <c r="J34" s="58" t="s">
        <v>93</v>
      </c>
      <c r="K34" s="57">
        <v>-26268.5</v>
      </c>
      <c r="L34" s="57" t="s">
        <v>94</v>
      </c>
      <c r="M34" s="58" t="s">
        <v>72</v>
      </c>
      <c r="N34" s="58"/>
      <c r="O34" s="59" t="s">
        <v>90</v>
      </c>
      <c r="P34" s="59" t="s">
        <v>91</v>
      </c>
    </row>
    <row r="35" spans="1:16" ht="12.75" customHeight="1" thickBot="1" x14ac:dyDescent="0.25">
      <c r="A35" s="24" t="str">
        <f t="shared" si="0"/>
        <v> RIA 6.595 </v>
      </c>
      <c r="B35" s="5" t="str">
        <f t="shared" si="1"/>
        <v>II</v>
      </c>
      <c r="C35" s="24">
        <f t="shared" si="2"/>
        <v>33751.580999999998</v>
      </c>
      <c r="D35" s="10" t="str">
        <f t="shared" si="3"/>
        <v>vis</v>
      </c>
      <c r="E35" s="56">
        <f>VLOOKUP(C35,Active!C$21:E$969,3,FALSE)</f>
        <v>-25903.016579077273</v>
      </c>
      <c r="F35" s="5" t="s">
        <v>66</v>
      </c>
      <c r="G35" s="10" t="str">
        <f t="shared" si="4"/>
        <v>33751.581</v>
      </c>
      <c r="H35" s="24">
        <f t="shared" si="5"/>
        <v>-25902.5</v>
      </c>
      <c r="I35" s="57" t="s">
        <v>95</v>
      </c>
      <c r="J35" s="58" t="s">
        <v>96</v>
      </c>
      <c r="K35" s="57">
        <v>-25902.5</v>
      </c>
      <c r="L35" s="57" t="s">
        <v>97</v>
      </c>
      <c r="M35" s="58" t="s">
        <v>68</v>
      </c>
      <c r="N35" s="58"/>
      <c r="O35" s="59" t="s">
        <v>90</v>
      </c>
      <c r="P35" s="59" t="s">
        <v>91</v>
      </c>
    </row>
    <row r="36" spans="1:16" ht="12.75" customHeight="1" thickBot="1" x14ac:dyDescent="0.25">
      <c r="A36" s="24" t="str">
        <f t="shared" si="0"/>
        <v> RIA 6.595 </v>
      </c>
      <c r="B36" s="5" t="str">
        <f t="shared" si="1"/>
        <v>II</v>
      </c>
      <c r="C36" s="24">
        <f t="shared" si="2"/>
        <v>33857.381000000001</v>
      </c>
      <c r="D36" s="10" t="str">
        <f t="shared" si="3"/>
        <v>vis</v>
      </c>
      <c r="E36" s="56">
        <f>VLOOKUP(C36,Active!C$21:E$969,3,FALSE)</f>
        <v>-25662.995892833173</v>
      </c>
      <c r="F36" s="5" t="s">
        <v>66</v>
      </c>
      <c r="G36" s="10" t="str">
        <f t="shared" si="4"/>
        <v>33857.381</v>
      </c>
      <c r="H36" s="24">
        <f t="shared" si="5"/>
        <v>-25662.5</v>
      </c>
      <c r="I36" s="57" t="s">
        <v>98</v>
      </c>
      <c r="J36" s="58" t="s">
        <v>99</v>
      </c>
      <c r="K36" s="57">
        <v>-25662.5</v>
      </c>
      <c r="L36" s="57" t="s">
        <v>100</v>
      </c>
      <c r="M36" s="58" t="s">
        <v>72</v>
      </c>
      <c r="N36" s="58"/>
      <c r="O36" s="59" t="s">
        <v>90</v>
      </c>
      <c r="P36" s="59" t="s">
        <v>91</v>
      </c>
    </row>
    <row r="37" spans="1:16" ht="12.75" customHeight="1" thickBot="1" x14ac:dyDescent="0.25">
      <c r="A37" s="24" t="str">
        <f t="shared" si="0"/>
        <v> RIA 6.595 </v>
      </c>
      <c r="B37" s="5" t="str">
        <f t="shared" si="1"/>
        <v>II</v>
      </c>
      <c r="C37" s="24">
        <f t="shared" si="2"/>
        <v>34123.648999999998</v>
      </c>
      <c r="D37" s="10" t="str">
        <f t="shared" si="3"/>
        <v>vis</v>
      </c>
      <c r="E37" s="56">
        <f>VLOOKUP(C37,Active!C$21:E$969,3,FALSE)</f>
        <v>-25058.933245528424</v>
      </c>
      <c r="F37" s="5" t="s">
        <v>66</v>
      </c>
      <c r="G37" s="10" t="str">
        <f t="shared" si="4"/>
        <v>34123.649</v>
      </c>
      <c r="H37" s="24">
        <f t="shared" si="5"/>
        <v>-25058.5</v>
      </c>
      <c r="I37" s="57" t="s">
        <v>101</v>
      </c>
      <c r="J37" s="58" t="s">
        <v>102</v>
      </c>
      <c r="K37" s="57">
        <v>-25058.5</v>
      </c>
      <c r="L37" s="57" t="s">
        <v>103</v>
      </c>
      <c r="M37" s="58" t="s">
        <v>72</v>
      </c>
      <c r="N37" s="58"/>
      <c r="O37" s="59" t="s">
        <v>90</v>
      </c>
      <c r="P37" s="59" t="s">
        <v>91</v>
      </c>
    </row>
    <row r="38" spans="1:16" ht="12.75" customHeight="1" thickBot="1" x14ac:dyDescent="0.25">
      <c r="A38" s="24" t="str">
        <f t="shared" si="0"/>
        <v> AC 213.24 </v>
      </c>
      <c r="B38" s="5" t="str">
        <f t="shared" si="1"/>
        <v>I</v>
      </c>
      <c r="C38" s="24">
        <f t="shared" si="2"/>
        <v>34162.214999999997</v>
      </c>
      <c r="D38" s="10" t="str">
        <f t="shared" si="3"/>
        <v>vis</v>
      </c>
      <c r="E38" s="56">
        <f>VLOOKUP(C38,Active!C$21:E$969,3,FALSE)</f>
        <v>-24971.441395002057</v>
      </c>
      <c r="F38" s="5" t="s">
        <v>66</v>
      </c>
      <c r="G38" s="10" t="str">
        <f t="shared" si="4"/>
        <v>34162.215</v>
      </c>
      <c r="H38" s="24">
        <f t="shared" si="5"/>
        <v>-24971</v>
      </c>
      <c r="I38" s="57" t="s">
        <v>104</v>
      </c>
      <c r="J38" s="58" t="s">
        <v>105</v>
      </c>
      <c r="K38" s="57">
        <v>-24971</v>
      </c>
      <c r="L38" s="57" t="s">
        <v>106</v>
      </c>
      <c r="M38" s="58" t="s">
        <v>72</v>
      </c>
      <c r="N38" s="58"/>
      <c r="O38" s="59" t="s">
        <v>73</v>
      </c>
      <c r="P38" s="59" t="s">
        <v>74</v>
      </c>
    </row>
    <row r="39" spans="1:16" ht="12.75" customHeight="1" thickBot="1" x14ac:dyDescent="0.25">
      <c r="A39" s="24" t="str">
        <f t="shared" si="0"/>
        <v> RIA 6.595 </v>
      </c>
      <c r="B39" s="5" t="str">
        <f t="shared" si="1"/>
        <v>II</v>
      </c>
      <c r="C39" s="24">
        <f t="shared" si="2"/>
        <v>34681.252</v>
      </c>
      <c r="D39" s="10" t="str">
        <f t="shared" si="3"/>
        <v>vis</v>
      </c>
      <c r="E39" s="56">
        <f>VLOOKUP(C39,Active!C$21:E$969,3,FALSE)</f>
        <v>-23793.940289840637</v>
      </c>
      <c r="F39" s="5" t="s">
        <v>66</v>
      </c>
      <c r="G39" s="10" t="str">
        <f t="shared" si="4"/>
        <v>34681.252</v>
      </c>
      <c r="H39" s="24">
        <f t="shared" si="5"/>
        <v>-23793.5</v>
      </c>
      <c r="I39" s="57" t="s">
        <v>107</v>
      </c>
      <c r="J39" s="58" t="s">
        <v>108</v>
      </c>
      <c r="K39" s="57">
        <v>-23793.5</v>
      </c>
      <c r="L39" s="57" t="s">
        <v>109</v>
      </c>
      <c r="M39" s="58" t="s">
        <v>72</v>
      </c>
      <c r="N39" s="58"/>
      <c r="O39" s="59" t="s">
        <v>90</v>
      </c>
      <c r="P39" s="59" t="s">
        <v>91</v>
      </c>
    </row>
    <row r="40" spans="1:16" ht="12.75" customHeight="1" thickBot="1" x14ac:dyDescent="0.25">
      <c r="A40" s="24" t="str">
        <f t="shared" si="0"/>
        <v> AC 213.24 </v>
      </c>
      <c r="B40" s="5" t="str">
        <f t="shared" si="1"/>
        <v>I</v>
      </c>
      <c r="C40" s="24">
        <f t="shared" si="2"/>
        <v>34714.082999999999</v>
      </c>
      <c r="D40" s="10" t="str">
        <f t="shared" si="3"/>
        <v>vis</v>
      </c>
      <c r="E40" s="56">
        <f>VLOOKUP(C40,Active!C$21:E$969,3,FALSE)</f>
        <v>-23719.459012429677</v>
      </c>
      <c r="F40" s="5" t="s">
        <v>66</v>
      </c>
      <c r="G40" s="10" t="str">
        <f t="shared" si="4"/>
        <v>34714.083</v>
      </c>
      <c r="H40" s="24">
        <f t="shared" si="5"/>
        <v>-23719</v>
      </c>
      <c r="I40" s="57" t="s">
        <v>110</v>
      </c>
      <c r="J40" s="58" t="s">
        <v>111</v>
      </c>
      <c r="K40" s="57">
        <v>-23719</v>
      </c>
      <c r="L40" s="57" t="s">
        <v>112</v>
      </c>
      <c r="M40" s="58" t="s">
        <v>72</v>
      </c>
      <c r="N40" s="58"/>
      <c r="O40" s="59" t="s">
        <v>73</v>
      </c>
      <c r="P40" s="59" t="s">
        <v>74</v>
      </c>
    </row>
    <row r="41" spans="1:16" ht="12.75" customHeight="1" thickBot="1" x14ac:dyDescent="0.25">
      <c r="A41" s="24" t="str">
        <f t="shared" si="0"/>
        <v> RIA 6.595 </v>
      </c>
      <c r="B41" s="5" t="str">
        <f t="shared" si="1"/>
        <v>II</v>
      </c>
      <c r="C41" s="24">
        <f t="shared" si="2"/>
        <v>34841.680999999997</v>
      </c>
      <c r="D41" s="10" t="str">
        <f t="shared" si="3"/>
        <v>vis</v>
      </c>
      <c r="E41" s="56">
        <f>VLOOKUP(C41,Active!C$21:E$969,3,FALSE)</f>
        <v>-23429.986805214423</v>
      </c>
      <c r="F41" s="5" t="s">
        <v>66</v>
      </c>
      <c r="G41" s="10" t="str">
        <f t="shared" si="4"/>
        <v>34841.681</v>
      </c>
      <c r="H41" s="24">
        <f t="shared" si="5"/>
        <v>-23429.5</v>
      </c>
      <c r="I41" s="57" t="s">
        <v>113</v>
      </c>
      <c r="J41" s="58" t="s">
        <v>114</v>
      </c>
      <c r="K41" s="57">
        <v>-23429.5</v>
      </c>
      <c r="L41" s="57" t="s">
        <v>115</v>
      </c>
      <c r="M41" s="58" t="s">
        <v>68</v>
      </c>
      <c r="N41" s="58"/>
      <c r="O41" s="59" t="s">
        <v>90</v>
      </c>
      <c r="P41" s="59" t="s">
        <v>91</v>
      </c>
    </row>
    <row r="42" spans="1:16" ht="12.75" customHeight="1" thickBot="1" x14ac:dyDescent="0.25">
      <c r="A42" s="24" t="str">
        <f t="shared" si="0"/>
        <v> RIA 6.595 </v>
      </c>
      <c r="B42" s="5" t="str">
        <f t="shared" si="1"/>
        <v>II</v>
      </c>
      <c r="C42" s="24">
        <f t="shared" si="2"/>
        <v>34959.362999999998</v>
      </c>
      <c r="D42" s="10" t="str">
        <f t="shared" si="3"/>
        <v>vis</v>
      </c>
      <c r="E42" s="56">
        <f>VLOOKUP(C42,Active!C$21:E$969,3,FALSE)</f>
        <v>-23163.010298611607</v>
      </c>
      <c r="F42" s="5" t="s">
        <v>66</v>
      </c>
      <c r="G42" s="10" t="str">
        <f t="shared" si="4"/>
        <v>34959.363</v>
      </c>
      <c r="H42" s="24">
        <f t="shared" si="5"/>
        <v>-23162.5</v>
      </c>
      <c r="I42" s="57" t="s">
        <v>116</v>
      </c>
      <c r="J42" s="58" t="s">
        <v>117</v>
      </c>
      <c r="K42" s="57">
        <v>-23162.5</v>
      </c>
      <c r="L42" s="57" t="s">
        <v>118</v>
      </c>
      <c r="M42" s="58" t="s">
        <v>68</v>
      </c>
      <c r="N42" s="58"/>
      <c r="O42" s="59" t="s">
        <v>90</v>
      </c>
      <c r="P42" s="59" t="s">
        <v>91</v>
      </c>
    </row>
    <row r="43" spans="1:16" ht="12.75" customHeight="1" thickBot="1" x14ac:dyDescent="0.25">
      <c r="A43" s="24" t="str">
        <f t="shared" ref="A43:A66" si="6">P43</f>
        <v> AC 213.24 </v>
      </c>
      <c r="B43" s="5" t="str">
        <f t="shared" ref="B43:B66" si="7">IF(H43=INT(H43),"I","II")</f>
        <v>I</v>
      </c>
      <c r="C43" s="24">
        <f t="shared" ref="C43:C66" si="8">1*G43</f>
        <v>34991.771999999997</v>
      </c>
      <c r="D43" s="10" t="str">
        <f t="shared" ref="D43:D66" si="9">VLOOKUP(F43,I$1:J$5,2,FALSE)</f>
        <v>vis</v>
      </c>
      <c r="E43" s="56">
        <f>VLOOKUP(C43,Active!C$21:E$969,3,FALSE)</f>
        <v>-23089.486381593793</v>
      </c>
      <c r="F43" s="5" t="s">
        <v>66</v>
      </c>
      <c r="G43" s="10" t="str">
        <f t="shared" ref="G43:G66" si="10">MID(I43,3,LEN(I43)-3)</f>
        <v>34991.772</v>
      </c>
      <c r="H43" s="24">
        <f t="shared" ref="H43:H66" si="11">1*K43</f>
        <v>-23089</v>
      </c>
      <c r="I43" s="57" t="s">
        <v>119</v>
      </c>
      <c r="J43" s="58" t="s">
        <v>120</v>
      </c>
      <c r="K43" s="57">
        <v>-23089</v>
      </c>
      <c r="L43" s="57" t="s">
        <v>121</v>
      </c>
      <c r="M43" s="58" t="s">
        <v>72</v>
      </c>
      <c r="N43" s="58"/>
      <c r="O43" s="59" t="s">
        <v>73</v>
      </c>
      <c r="P43" s="59" t="s">
        <v>74</v>
      </c>
    </row>
    <row r="44" spans="1:16" ht="12.75" customHeight="1" thickBot="1" x14ac:dyDescent="0.25">
      <c r="A44" s="24" t="str">
        <f t="shared" si="6"/>
        <v> AC 213.24 </v>
      </c>
      <c r="B44" s="5" t="str">
        <f t="shared" si="7"/>
        <v>I</v>
      </c>
      <c r="C44" s="24">
        <f t="shared" si="8"/>
        <v>35402.133000000002</v>
      </c>
      <c r="D44" s="10" t="str">
        <f t="shared" si="9"/>
        <v>vis</v>
      </c>
      <c r="E44" s="56">
        <f>VLOOKUP(C44,Active!C$21:E$969,3,FALSE)</f>
        <v>-22158.530532559624</v>
      </c>
      <c r="F44" s="5" t="s">
        <v>66</v>
      </c>
      <c r="G44" s="10" t="str">
        <f t="shared" si="10"/>
        <v>35402.133</v>
      </c>
      <c r="H44" s="24">
        <f t="shared" si="11"/>
        <v>-22158</v>
      </c>
      <c r="I44" s="57" t="s">
        <v>122</v>
      </c>
      <c r="J44" s="58" t="s">
        <v>123</v>
      </c>
      <c r="K44" s="57">
        <v>-22158</v>
      </c>
      <c r="L44" s="57" t="s">
        <v>124</v>
      </c>
      <c r="M44" s="58" t="s">
        <v>72</v>
      </c>
      <c r="N44" s="58"/>
      <c r="O44" s="59" t="s">
        <v>73</v>
      </c>
      <c r="P44" s="59" t="s">
        <v>74</v>
      </c>
    </row>
    <row r="45" spans="1:16" ht="12.75" customHeight="1" thickBot="1" x14ac:dyDescent="0.25">
      <c r="A45" s="24" t="str">
        <f t="shared" si="6"/>
        <v> AC 213.24 </v>
      </c>
      <c r="B45" s="5" t="str">
        <f t="shared" si="7"/>
        <v>II</v>
      </c>
      <c r="C45" s="24">
        <f t="shared" si="8"/>
        <v>36084.709000000003</v>
      </c>
      <c r="D45" s="10" t="str">
        <f t="shared" si="9"/>
        <v>vis</v>
      </c>
      <c r="E45" s="56">
        <f>VLOOKUP(C45,Active!C$21:E$969,3,FALSE)</f>
        <v>-20610.020514282205</v>
      </c>
      <c r="F45" s="5" t="s">
        <v>66</v>
      </c>
      <c r="G45" s="10" t="str">
        <f t="shared" si="10"/>
        <v>36084.709</v>
      </c>
      <c r="H45" s="24">
        <f t="shared" si="11"/>
        <v>-20609.5</v>
      </c>
      <c r="I45" s="57" t="s">
        <v>125</v>
      </c>
      <c r="J45" s="58" t="s">
        <v>126</v>
      </c>
      <c r="K45" s="57">
        <v>-20609.5</v>
      </c>
      <c r="L45" s="57" t="s">
        <v>127</v>
      </c>
      <c r="M45" s="58" t="s">
        <v>72</v>
      </c>
      <c r="N45" s="58"/>
      <c r="O45" s="59" t="s">
        <v>73</v>
      </c>
      <c r="P45" s="59" t="s">
        <v>74</v>
      </c>
    </row>
    <row r="46" spans="1:16" ht="12.75" customHeight="1" thickBot="1" x14ac:dyDescent="0.25">
      <c r="A46" s="24" t="str">
        <f t="shared" si="6"/>
        <v> AC 213.24 </v>
      </c>
      <c r="B46" s="5" t="str">
        <f t="shared" si="7"/>
        <v>II</v>
      </c>
      <c r="C46" s="24">
        <f t="shared" si="8"/>
        <v>36361.099000000002</v>
      </c>
      <c r="D46" s="10" t="str">
        <f t="shared" si="9"/>
        <v>vis</v>
      </c>
      <c r="E46" s="56">
        <f>VLOOKUP(C46,Active!C$21:E$969,3,FALSE)</f>
        <v>-19982.994829301057</v>
      </c>
      <c r="F46" s="5" t="s">
        <v>66</v>
      </c>
      <c r="G46" s="10" t="str">
        <f t="shared" si="10"/>
        <v>36361.099</v>
      </c>
      <c r="H46" s="24">
        <f t="shared" si="11"/>
        <v>-19982.5</v>
      </c>
      <c r="I46" s="57" t="s">
        <v>128</v>
      </c>
      <c r="J46" s="58" t="s">
        <v>129</v>
      </c>
      <c r="K46" s="57">
        <v>-19982.5</v>
      </c>
      <c r="L46" s="57" t="s">
        <v>130</v>
      </c>
      <c r="M46" s="58" t="s">
        <v>131</v>
      </c>
      <c r="N46" s="58"/>
      <c r="O46" s="59" t="s">
        <v>132</v>
      </c>
      <c r="P46" s="59" t="s">
        <v>74</v>
      </c>
    </row>
    <row r="47" spans="1:16" ht="12.75" customHeight="1" thickBot="1" x14ac:dyDescent="0.25">
      <c r="A47" s="24" t="str">
        <f t="shared" si="6"/>
        <v> AC 213.24 </v>
      </c>
      <c r="B47" s="5" t="str">
        <f t="shared" si="7"/>
        <v>II</v>
      </c>
      <c r="C47" s="24">
        <f t="shared" si="8"/>
        <v>36412.226000000002</v>
      </c>
      <c r="D47" s="10" t="str">
        <f t="shared" si="9"/>
        <v>vis</v>
      </c>
      <c r="E47" s="56">
        <f>VLOOKUP(C47,Active!C$21:E$969,3,FALSE)</f>
        <v>-19867.006761006138</v>
      </c>
      <c r="F47" s="5" t="s">
        <v>66</v>
      </c>
      <c r="G47" s="10" t="str">
        <f t="shared" si="10"/>
        <v>36412.226</v>
      </c>
      <c r="H47" s="24">
        <f t="shared" si="11"/>
        <v>-19866.5</v>
      </c>
      <c r="I47" s="57" t="s">
        <v>133</v>
      </c>
      <c r="J47" s="58" t="s">
        <v>134</v>
      </c>
      <c r="K47" s="57">
        <v>-19866.5</v>
      </c>
      <c r="L47" s="57" t="s">
        <v>135</v>
      </c>
      <c r="M47" s="58" t="s">
        <v>131</v>
      </c>
      <c r="N47" s="58"/>
      <c r="O47" s="59" t="s">
        <v>73</v>
      </c>
      <c r="P47" s="59" t="s">
        <v>74</v>
      </c>
    </row>
    <row r="48" spans="1:16" ht="12.75" customHeight="1" thickBot="1" x14ac:dyDescent="0.25">
      <c r="A48" s="24" t="str">
        <f t="shared" si="6"/>
        <v> AC 213.24 </v>
      </c>
      <c r="B48" s="5" t="str">
        <f t="shared" si="7"/>
        <v>I</v>
      </c>
      <c r="C48" s="24">
        <f t="shared" si="8"/>
        <v>36428.756999999998</v>
      </c>
      <c r="D48" s="10" t="str">
        <f t="shared" si="9"/>
        <v>vis</v>
      </c>
      <c r="E48" s="56">
        <f>VLOOKUP(C48,Active!C$21:E$969,3,FALSE)</f>
        <v>-19829.50409593714</v>
      </c>
      <c r="F48" s="5" t="s">
        <v>66</v>
      </c>
      <c r="G48" s="10" t="str">
        <f t="shared" si="10"/>
        <v>36428.757</v>
      </c>
      <c r="H48" s="24">
        <f t="shared" si="11"/>
        <v>-19829</v>
      </c>
      <c r="I48" s="57" t="s">
        <v>136</v>
      </c>
      <c r="J48" s="58" t="s">
        <v>137</v>
      </c>
      <c r="K48" s="57">
        <v>-19829</v>
      </c>
      <c r="L48" s="57" t="s">
        <v>138</v>
      </c>
      <c r="M48" s="58" t="s">
        <v>131</v>
      </c>
      <c r="N48" s="58"/>
      <c r="O48" s="59" t="s">
        <v>139</v>
      </c>
      <c r="P48" s="59" t="s">
        <v>74</v>
      </c>
    </row>
    <row r="49" spans="1:16" ht="12.75" customHeight="1" thickBot="1" x14ac:dyDescent="0.25">
      <c r="A49" s="24" t="str">
        <f t="shared" si="6"/>
        <v> AC 213.24 </v>
      </c>
      <c r="B49" s="5" t="str">
        <f t="shared" si="7"/>
        <v>II</v>
      </c>
      <c r="C49" s="24">
        <f t="shared" si="8"/>
        <v>36435.15</v>
      </c>
      <c r="D49" s="10" t="str">
        <f t="shared" si="9"/>
        <v>vis</v>
      </c>
      <c r="E49" s="56">
        <f>VLOOKUP(C49,Active!C$21:E$969,3,FALSE)</f>
        <v>-19815.000766568905</v>
      </c>
      <c r="F49" s="5" t="s">
        <v>66</v>
      </c>
      <c r="G49" s="10" t="str">
        <f t="shared" si="10"/>
        <v>36435.150</v>
      </c>
      <c r="H49" s="24">
        <f t="shared" si="11"/>
        <v>-19814.5</v>
      </c>
      <c r="I49" s="57" t="s">
        <v>140</v>
      </c>
      <c r="J49" s="58" t="s">
        <v>141</v>
      </c>
      <c r="K49" s="57">
        <v>-19814.5</v>
      </c>
      <c r="L49" s="57" t="s">
        <v>142</v>
      </c>
      <c r="M49" s="58" t="s">
        <v>72</v>
      </c>
      <c r="N49" s="58"/>
      <c r="O49" s="59" t="s">
        <v>73</v>
      </c>
      <c r="P49" s="59" t="s">
        <v>74</v>
      </c>
    </row>
    <row r="50" spans="1:16" ht="12.75" customHeight="1" thickBot="1" x14ac:dyDescent="0.25">
      <c r="A50" s="24" t="str">
        <f t="shared" si="6"/>
        <v> AC 213.24 </v>
      </c>
      <c r="B50" s="5" t="str">
        <f t="shared" si="7"/>
        <v>I</v>
      </c>
      <c r="C50" s="24">
        <f t="shared" si="8"/>
        <v>36731.578999999998</v>
      </c>
      <c r="D50" s="10" t="str">
        <f t="shared" si="9"/>
        <v>vis</v>
      </c>
      <c r="E50" s="56">
        <f>VLOOKUP(C50,Active!C$21:E$969,3,FALSE)</f>
        <v>-19142.514074672396</v>
      </c>
      <c r="F50" s="5" t="s">
        <v>66</v>
      </c>
      <c r="G50" s="10" t="str">
        <f t="shared" si="10"/>
        <v>36731.579</v>
      </c>
      <c r="H50" s="24">
        <f t="shared" si="11"/>
        <v>-19142</v>
      </c>
      <c r="I50" s="57" t="s">
        <v>143</v>
      </c>
      <c r="J50" s="58" t="s">
        <v>144</v>
      </c>
      <c r="K50" s="57">
        <v>-19142</v>
      </c>
      <c r="L50" s="57" t="s">
        <v>145</v>
      </c>
      <c r="M50" s="58" t="s">
        <v>131</v>
      </c>
      <c r="N50" s="58"/>
      <c r="O50" s="59" t="s">
        <v>139</v>
      </c>
      <c r="P50" s="59" t="s">
        <v>74</v>
      </c>
    </row>
    <row r="51" spans="1:16" ht="12.75" customHeight="1" thickBot="1" x14ac:dyDescent="0.25">
      <c r="A51" s="24" t="str">
        <f t="shared" si="6"/>
        <v> AC 213.24 </v>
      </c>
      <c r="B51" s="5" t="str">
        <f t="shared" si="7"/>
        <v>II</v>
      </c>
      <c r="C51" s="24">
        <f t="shared" si="8"/>
        <v>36800.131000000001</v>
      </c>
      <c r="D51" s="10" t="str">
        <f t="shared" si="9"/>
        <v>vis</v>
      </c>
      <c r="E51" s="56">
        <f>VLOOKUP(C51,Active!C$21:E$969,3,FALSE)</f>
        <v>-18986.995189195968</v>
      </c>
      <c r="F51" s="5" t="s">
        <v>66</v>
      </c>
      <c r="G51" s="10" t="str">
        <f t="shared" si="10"/>
        <v>36800.131</v>
      </c>
      <c r="H51" s="24">
        <f t="shared" si="11"/>
        <v>-18986.5</v>
      </c>
      <c r="I51" s="57" t="s">
        <v>146</v>
      </c>
      <c r="J51" s="58" t="s">
        <v>147</v>
      </c>
      <c r="K51" s="57">
        <v>-18986.5</v>
      </c>
      <c r="L51" s="57" t="s">
        <v>130</v>
      </c>
      <c r="M51" s="58" t="s">
        <v>72</v>
      </c>
      <c r="N51" s="58"/>
      <c r="O51" s="59" t="s">
        <v>73</v>
      </c>
      <c r="P51" s="59" t="s">
        <v>74</v>
      </c>
    </row>
    <row r="52" spans="1:16" ht="12.75" customHeight="1" thickBot="1" x14ac:dyDescent="0.25">
      <c r="A52" s="24" t="str">
        <f t="shared" si="6"/>
        <v> PZ 15.447 </v>
      </c>
      <c r="B52" s="5" t="str">
        <f t="shared" si="7"/>
        <v>II</v>
      </c>
      <c r="C52" s="24">
        <f t="shared" si="8"/>
        <v>37911.364000000001</v>
      </c>
      <c r="D52" s="10" t="str">
        <f t="shared" si="9"/>
        <v>vis</v>
      </c>
      <c r="E52" s="56">
        <f>VLOOKUP(C52,Active!C$21:E$969,3,FALSE)</f>
        <v>-16466.022531000443</v>
      </c>
      <c r="F52" s="5" t="s">
        <v>66</v>
      </c>
      <c r="G52" s="10" t="str">
        <f t="shared" si="10"/>
        <v>37911.364</v>
      </c>
      <c r="H52" s="24">
        <f t="shared" si="11"/>
        <v>-16465.5</v>
      </c>
      <c r="I52" s="57" t="s">
        <v>148</v>
      </c>
      <c r="J52" s="58" t="s">
        <v>149</v>
      </c>
      <c r="K52" s="57">
        <v>-16465.5</v>
      </c>
      <c r="L52" s="57" t="s">
        <v>150</v>
      </c>
      <c r="M52" s="58" t="s">
        <v>68</v>
      </c>
      <c r="N52" s="58"/>
      <c r="O52" s="59" t="s">
        <v>151</v>
      </c>
      <c r="P52" s="59" t="s">
        <v>152</v>
      </c>
    </row>
    <row r="53" spans="1:16" ht="12.75" customHeight="1" thickBot="1" x14ac:dyDescent="0.25">
      <c r="A53" s="24" t="str">
        <f t="shared" si="6"/>
        <v> PZ 15.447 </v>
      </c>
      <c r="B53" s="5" t="str">
        <f t="shared" si="7"/>
        <v>I</v>
      </c>
      <c r="C53" s="24">
        <f t="shared" si="8"/>
        <v>37911.587</v>
      </c>
      <c r="D53" s="10" t="str">
        <f t="shared" si="9"/>
        <v>vis</v>
      </c>
      <c r="E53" s="56">
        <f>VLOOKUP(C53,Active!C$21:E$969,3,FALSE)</f>
        <v>-16465.516627285586</v>
      </c>
      <c r="F53" s="5" t="s">
        <v>66</v>
      </c>
      <c r="G53" s="10" t="str">
        <f t="shared" si="10"/>
        <v>37911.587</v>
      </c>
      <c r="H53" s="24">
        <f t="shared" si="11"/>
        <v>-16465</v>
      </c>
      <c r="I53" s="57" t="s">
        <v>153</v>
      </c>
      <c r="J53" s="58" t="s">
        <v>154</v>
      </c>
      <c r="K53" s="57">
        <v>-16465</v>
      </c>
      <c r="L53" s="57" t="s">
        <v>97</v>
      </c>
      <c r="M53" s="58" t="s">
        <v>68</v>
      </c>
      <c r="N53" s="58"/>
      <c r="O53" s="59" t="s">
        <v>151</v>
      </c>
      <c r="P53" s="59" t="s">
        <v>152</v>
      </c>
    </row>
    <row r="54" spans="1:16" ht="12.75" customHeight="1" thickBot="1" x14ac:dyDescent="0.25">
      <c r="A54" s="24" t="str">
        <f t="shared" si="6"/>
        <v> RIA 6.595 </v>
      </c>
      <c r="B54" s="5" t="str">
        <f t="shared" si="7"/>
        <v>II</v>
      </c>
      <c r="C54" s="24">
        <f t="shared" si="8"/>
        <v>37955.462</v>
      </c>
      <c r="D54" s="10" t="str">
        <f t="shared" si="9"/>
        <v>vis</v>
      </c>
      <c r="E54" s="56">
        <f>VLOOKUP(C54,Active!C$21:E$969,3,FALSE)</f>
        <v>-16365.980638543055</v>
      </c>
      <c r="F54" s="5" t="s">
        <v>66</v>
      </c>
      <c r="G54" s="10" t="str">
        <f t="shared" si="10"/>
        <v>37955.462</v>
      </c>
      <c r="H54" s="24">
        <f t="shared" si="11"/>
        <v>-16365.5</v>
      </c>
      <c r="I54" s="57" t="s">
        <v>155</v>
      </c>
      <c r="J54" s="58" t="s">
        <v>156</v>
      </c>
      <c r="K54" s="57">
        <v>-16365.5</v>
      </c>
      <c r="L54" s="57" t="s">
        <v>157</v>
      </c>
      <c r="M54" s="58" t="s">
        <v>68</v>
      </c>
      <c r="N54" s="58"/>
      <c r="O54" s="59" t="s">
        <v>90</v>
      </c>
      <c r="P54" s="59" t="s">
        <v>91</v>
      </c>
    </row>
    <row r="55" spans="1:16" ht="12.75" customHeight="1" thickBot="1" x14ac:dyDescent="0.25">
      <c r="A55" s="24" t="str">
        <f t="shared" si="6"/>
        <v> RIA 6.595 </v>
      </c>
      <c r="B55" s="5" t="str">
        <f t="shared" si="7"/>
        <v>II</v>
      </c>
      <c r="C55" s="24">
        <f t="shared" si="8"/>
        <v>38267.548000000003</v>
      </c>
      <c r="D55" s="10" t="str">
        <f t="shared" si="9"/>
        <v>vis</v>
      </c>
      <c r="E55" s="56">
        <f>VLOOKUP(C55,Active!C$21:E$969,3,FALSE)</f>
        <v>-15657.974061159539</v>
      </c>
      <c r="F55" s="5" t="s">
        <v>66</v>
      </c>
      <c r="G55" s="10" t="str">
        <f t="shared" si="10"/>
        <v>38267.548</v>
      </c>
      <c r="H55" s="24">
        <f t="shared" si="11"/>
        <v>-15657.5</v>
      </c>
      <c r="I55" s="57" t="s">
        <v>158</v>
      </c>
      <c r="J55" s="58" t="s">
        <v>159</v>
      </c>
      <c r="K55" s="57">
        <v>-15657.5</v>
      </c>
      <c r="L55" s="57" t="s">
        <v>160</v>
      </c>
      <c r="M55" s="58" t="s">
        <v>68</v>
      </c>
      <c r="N55" s="58"/>
      <c r="O55" s="59" t="s">
        <v>90</v>
      </c>
      <c r="P55" s="59" t="s">
        <v>91</v>
      </c>
    </row>
    <row r="56" spans="1:16" ht="12.75" customHeight="1" thickBot="1" x14ac:dyDescent="0.25">
      <c r="A56" s="24" t="str">
        <f t="shared" si="6"/>
        <v>BAVM 68 </v>
      </c>
      <c r="B56" s="5" t="str">
        <f t="shared" si="7"/>
        <v>I</v>
      </c>
      <c r="C56" s="24">
        <f t="shared" si="8"/>
        <v>49480.5219</v>
      </c>
      <c r="D56" s="10" t="str">
        <f t="shared" si="9"/>
        <v>vis</v>
      </c>
      <c r="E56" s="56">
        <f>VLOOKUP(C56,Active!C$21:E$969,3,FALSE)</f>
        <v>9780.0759418191628</v>
      </c>
      <c r="F56" s="5" t="s">
        <v>66</v>
      </c>
      <c r="G56" s="10" t="str">
        <f t="shared" si="10"/>
        <v>49480.5219</v>
      </c>
      <c r="H56" s="24">
        <f t="shared" si="11"/>
        <v>9780</v>
      </c>
      <c r="I56" s="57" t="s">
        <v>181</v>
      </c>
      <c r="J56" s="58" t="s">
        <v>182</v>
      </c>
      <c r="K56" s="57">
        <v>9780</v>
      </c>
      <c r="L56" s="57" t="s">
        <v>183</v>
      </c>
      <c r="M56" s="58" t="s">
        <v>177</v>
      </c>
      <c r="N56" s="58" t="s">
        <v>184</v>
      </c>
      <c r="O56" s="59" t="s">
        <v>185</v>
      </c>
      <c r="P56" s="60" t="s">
        <v>186</v>
      </c>
    </row>
    <row r="57" spans="1:16" ht="12.75" customHeight="1" thickBot="1" x14ac:dyDescent="0.25">
      <c r="A57" s="24" t="str">
        <f t="shared" si="6"/>
        <v>BAVM 68 </v>
      </c>
      <c r="B57" s="5" t="str">
        <f t="shared" si="7"/>
        <v>I</v>
      </c>
      <c r="C57" s="24">
        <f t="shared" si="8"/>
        <v>49484.489800000003</v>
      </c>
      <c r="D57" s="10" t="str">
        <f t="shared" si="9"/>
        <v>vis</v>
      </c>
      <c r="E57" s="56">
        <f>VLOOKUP(C57,Active!C$21:E$969,3,FALSE)</f>
        <v>9789.0776250039326</v>
      </c>
      <c r="F57" s="5" t="s">
        <v>66</v>
      </c>
      <c r="G57" s="10" t="str">
        <f t="shared" si="10"/>
        <v>49484.4898</v>
      </c>
      <c r="H57" s="24">
        <f t="shared" si="11"/>
        <v>9789</v>
      </c>
      <c r="I57" s="57" t="s">
        <v>187</v>
      </c>
      <c r="J57" s="58" t="s">
        <v>188</v>
      </c>
      <c r="K57" s="57">
        <v>9789</v>
      </c>
      <c r="L57" s="57" t="s">
        <v>189</v>
      </c>
      <c r="M57" s="58" t="s">
        <v>177</v>
      </c>
      <c r="N57" s="58" t="s">
        <v>184</v>
      </c>
      <c r="O57" s="59" t="s">
        <v>185</v>
      </c>
      <c r="P57" s="60" t="s">
        <v>186</v>
      </c>
    </row>
    <row r="58" spans="1:16" ht="12.75" customHeight="1" thickBot="1" x14ac:dyDescent="0.25">
      <c r="A58" s="24" t="str">
        <f t="shared" si="6"/>
        <v>BAVM 68 </v>
      </c>
      <c r="B58" s="5" t="str">
        <f t="shared" si="7"/>
        <v>II</v>
      </c>
      <c r="C58" s="24">
        <f t="shared" si="8"/>
        <v>49486.473599999998</v>
      </c>
      <c r="D58" s="10" t="str">
        <f t="shared" si="9"/>
        <v>vis</v>
      </c>
      <c r="E58" s="56">
        <f>VLOOKUP(C58,Active!C$21:E$969,3,FALSE)</f>
        <v>9793.5781263023237</v>
      </c>
      <c r="F58" s="5" t="s">
        <v>66</v>
      </c>
      <c r="G58" s="10" t="str">
        <f t="shared" si="10"/>
        <v>49486.4736</v>
      </c>
      <c r="H58" s="24">
        <f t="shared" si="11"/>
        <v>9793.5</v>
      </c>
      <c r="I58" s="57" t="s">
        <v>190</v>
      </c>
      <c r="J58" s="58" t="s">
        <v>191</v>
      </c>
      <c r="K58" s="57">
        <v>9793.5</v>
      </c>
      <c r="L58" s="57" t="s">
        <v>192</v>
      </c>
      <c r="M58" s="58" t="s">
        <v>177</v>
      </c>
      <c r="N58" s="58" t="s">
        <v>184</v>
      </c>
      <c r="O58" s="59" t="s">
        <v>185</v>
      </c>
      <c r="P58" s="60" t="s">
        <v>186</v>
      </c>
    </row>
    <row r="59" spans="1:16" ht="12.75" customHeight="1" thickBot="1" x14ac:dyDescent="0.25">
      <c r="A59" s="24" t="str">
        <f t="shared" si="6"/>
        <v> BBS 115/118 </v>
      </c>
      <c r="B59" s="5" t="str">
        <f t="shared" si="7"/>
        <v>II</v>
      </c>
      <c r="C59" s="24">
        <f t="shared" si="8"/>
        <v>50642.696499999998</v>
      </c>
      <c r="D59" s="10" t="str">
        <f t="shared" si="9"/>
        <v>vis</v>
      </c>
      <c r="E59" s="56">
        <f>VLOOKUP(C59,Active!C$21:E$969,3,FALSE)</f>
        <v>12416.616064952039</v>
      </c>
      <c r="F59" s="5" t="s">
        <v>66</v>
      </c>
      <c r="G59" s="10" t="str">
        <f t="shared" si="10"/>
        <v>50642.6965</v>
      </c>
      <c r="H59" s="24">
        <f t="shared" si="11"/>
        <v>12416.5</v>
      </c>
      <c r="I59" s="57" t="s">
        <v>193</v>
      </c>
      <c r="J59" s="58" t="s">
        <v>194</v>
      </c>
      <c r="K59" s="57">
        <v>12416.5</v>
      </c>
      <c r="L59" s="57" t="s">
        <v>195</v>
      </c>
      <c r="M59" s="58" t="s">
        <v>177</v>
      </c>
      <c r="N59" s="58" t="s">
        <v>178</v>
      </c>
      <c r="O59" s="59" t="s">
        <v>196</v>
      </c>
      <c r="P59" s="59" t="s">
        <v>197</v>
      </c>
    </row>
    <row r="60" spans="1:16" ht="12.75" customHeight="1" thickBot="1" x14ac:dyDescent="0.25">
      <c r="A60" s="24" t="str">
        <f t="shared" si="6"/>
        <v> BBS 126 </v>
      </c>
      <c r="B60" s="5" t="str">
        <f t="shared" si="7"/>
        <v>I</v>
      </c>
      <c r="C60" s="24">
        <f t="shared" si="8"/>
        <v>52086.551299999999</v>
      </c>
      <c r="D60" s="10" t="str">
        <f t="shared" si="9"/>
        <v>vis</v>
      </c>
      <c r="E60" s="56">
        <f>VLOOKUP(C60,Active!C$21:E$969,3,FALSE)</f>
        <v>15692.183361103585</v>
      </c>
      <c r="F60" s="5" t="s">
        <v>66</v>
      </c>
      <c r="G60" s="10" t="str">
        <f t="shared" si="10"/>
        <v>52086.5513</v>
      </c>
      <c r="H60" s="24">
        <f t="shared" si="11"/>
        <v>15692</v>
      </c>
      <c r="I60" s="57" t="s">
        <v>213</v>
      </c>
      <c r="J60" s="58" t="s">
        <v>214</v>
      </c>
      <c r="K60" s="57">
        <v>15692</v>
      </c>
      <c r="L60" s="57" t="s">
        <v>215</v>
      </c>
      <c r="M60" s="58" t="s">
        <v>177</v>
      </c>
      <c r="N60" s="58" t="s">
        <v>178</v>
      </c>
      <c r="O60" s="59" t="s">
        <v>201</v>
      </c>
      <c r="P60" s="59" t="s">
        <v>216</v>
      </c>
    </row>
    <row r="61" spans="1:16" ht="12.75" customHeight="1" thickBot="1" x14ac:dyDescent="0.25">
      <c r="A61" s="24" t="str">
        <f t="shared" si="6"/>
        <v>OEJV 0094 </v>
      </c>
      <c r="B61" s="5" t="str">
        <f t="shared" si="7"/>
        <v>II</v>
      </c>
      <c r="C61" s="24">
        <f t="shared" si="8"/>
        <v>54639.4493</v>
      </c>
      <c r="D61" s="10" t="str">
        <f t="shared" si="9"/>
        <v>vis</v>
      </c>
      <c r="E61" s="56" t="e">
        <f>VLOOKUP(C61,Active!C$21:E$969,3,FALSE)</f>
        <v>#N/A</v>
      </c>
      <c r="F61" s="5" t="s">
        <v>66</v>
      </c>
      <c r="G61" s="10" t="str">
        <f t="shared" si="10"/>
        <v>54639.4493</v>
      </c>
      <c r="H61" s="24">
        <f t="shared" si="11"/>
        <v>21483.5</v>
      </c>
      <c r="I61" s="57" t="s">
        <v>243</v>
      </c>
      <c r="J61" s="58" t="s">
        <v>244</v>
      </c>
      <c r="K61" s="57" t="s">
        <v>245</v>
      </c>
      <c r="L61" s="57" t="s">
        <v>246</v>
      </c>
      <c r="M61" s="58" t="s">
        <v>236</v>
      </c>
      <c r="N61" s="58" t="s">
        <v>247</v>
      </c>
      <c r="O61" s="59" t="s">
        <v>248</v>
      </c>
      <c r="P61" s="60" t="s">
        <v>249</v>
      </c>
    </row>
    <row r="62" spans="1:16" ht="12.75" customHeight="1" thickBot="1" x14ac:dyDescent="0.25">
      <c r="A62" s="24" t="str">
        <f t="shared" si="6"/>
        <v>OEJV 0094 </v>
      </c>
      <c r="B62" s="5" t="str">
        <f t="shared" si="7"/>
        <v>II</v>
      </c>
      <c r="C62" s="24">
        <f t="shared" si="8"/>
        <v>54639.452799999999</v>
      </c>
      <c r="D62" s="10" t="str">
        <f t="shared" si="9"/>
        <v>vis</v>
      </c>
      <c r="E62" s="56" t="e">
        <f>VLOOKUP(C62,Active!C$21:E$969,3,FALSE)</f>
        <v>#N/A</v>
      </c>
      <c r="F62" s="5" t="s">
        <v>66</v>
      </c>
      <c r="G62" s="10" t="str">
        <f t="shared" si="10"/>
        <v>54639.4528</v>
      </c>
      <c r="H62" s="24">
        <f t="shared" si="11"/>
        <v>21483.5</v>
      </c>
      <c r="I62" s="57" t="s">
        <v>250</v>
      </c>
      <c r="J62" s="58" t="s">
        <v>251</v>
      </c>
      <c r="K62" s="57" t="s">
        <v>245</v>
      </c>
      <c r="L62" s="57" t="s">
        <v>252</v>
      </c>
      <c r="M62" s="58" t="s">
        <v>236</v>
      </c>
      <c r="N62" s="58" t="s">
        <v>66</v>
      </c>
      <c r="O62" s="59" t="s">
        <v>248</v>
      </c>
      <c r="P62" s="60" t="s">
        <v>249</v>
      </c>
    </row>
    <row r="63" spans="1:16" ht="12.75" customHeight="1" thickBot="1" x14ac:dyDescent="0.25">
      <c r="A63" s="24" t="str">
        <f t="shared" si="6"/>
        <v>OEJV 0094 </v>
      </c>
      <c r="B63" s="5" t="str">
        <f t="shared" si="7"/>
        <v>I</v>
      </c>
      <c r="C63" s="24">
        <f t="shared" si="8"/>
        <v>54675.377500000002</v>
      </c>
      <c r="D63" s="10" t="str">
        <f t="shared" si="9"/>
        <v>vis</v>
      </c>
      <c r="E63" s="56" t="e">
        <f>VLOOKUP(C63,Active!C$21:E$969,3,FALSE)</f>
        <v>#N/A</v>
      </c>
      <c r="F63" s="5" t="s">
        <v>66</v>
      </c>
      <c r="G63" s="10" t="str">
        <f t="shared" si="10"/>
        <v>54675.3775</v>
      </c>
      <c r="H63" s="24">
        <f t="shared" si="11"/>
        <v>21565</v>
      </c>
      <c r="I63" s="57" t="s">
        <v>253</v>
      </c>
      <c r="J63" s="58" t="s">
        <v>254</v>
      </c>
      <c r="K63" s="57" t="s">
        <v>255</v>
      </c>
      <c r="L63" s="57" t="s">
        <v>256</v>
      </c>
      <c r="M63" s="58" t="s">
        <v>236</v>
      </c>
      <c r="N63" s="58" t="s">
        <v>66</v>
      </c>
      <c r="O63" s="59" t="s">
        <v>248</v>
      </c>
      <c r="P63" s="60" t="s">
        <v>249</v>
      </c>
    </row>
    <row r="64" spans="1:16" ht="12.75" customHeight="1" thickBot="1" x14ac:dyDescent="0.25">
      <c r="A64" s="24" t="str">
        <f t="shared" si="6"/>
        <v>OEJV 0094 </v>
      </c>
      <c r="B64" s="5" t="str">
        <f t="shared" si="7"/>
        <v>II</v>
      </c>
      <c r="C64" s="24">
        <f t="shared" si="8"/>
        <v>54675.598299999998</v>
      </c>
      <c r="D64" s="10" t="str">
        <f t="shared" si="9"/>
        <v>vis</v>
      </c>
      <c r="E64" s="56" t="e">
        <f>VLOOKUP(C64,Active!C$21:E$969,3,FALSE)</f>
        <v>#N/A</v>
      </c>
      <c r="F64" s="5" t="s">
        <v>66</v>
      </c>
      <c r="G64" s="10" t="str">
        <f t="shared" si="10"/>
        <v>54675.5983</v>
      </c>
      <c r="H64" s="24">
        <f t="shared" si="11"/>
        <v>21565.5</v>
      </c>
      <c r="I64" s="57" t="s">
        <v>257</v>
      </c>
      <c r="J64" s="58" t="s">
        <v>258</v>
      </c>
      <c r="K64" s="57" t="s">
        <v>259</v>
      </c>
      <c r="L64" s="57" t="s">
        <v>260</v>
      </c>
      <c r="M64" s="58" t="s">
        <v>236</v>
      </c>
      <c r="N64" s="58" t="s">
        <v>58</v>
      </c>
      <c r="O64" s="59" t="s">
        <v>248</v>
      </c>
      <c r="P64" s="60" t="s">
        <v>249</v>
      </c>
    </row>
    <row r="65" spans="1:16" ht="12.75" customHeight="1" thickBot="1" x14ac:dyDescent="0.25">
      <c r="A65" s="24" t="str">
        <f t="shared" si="6"/>
        <v>BAVM 228 </v>
      </c>
      <c r="B65" s="5" t="str">
        <f t="shared" si="7"/>
        <v>II</v>
      </c>
      <c r="C65" s="24">
        <f t="shared" si="8"/>
        <v>55384.411399999997</v>
      </c>
      <c r="D65" s="10" t="str">
        <f t="shared" si="9"/>
        <v>vis</v>
      </c>
      <c r="E65" s="56">
        <f>VLOOKUP(C65,Active!C$21:E$969,3,FALSE)</f>
        <v>23173.796256557511</v>
      </c>
      <c r="F65" s="5" t="s">
        <v>66</v>
      </c>
      <c r="G65" s="10" t="str">
        <f t="shared" si="10"/>
        <v>55384.4114</v>
      </c>
      <c r="H65" s="24">
        <f t="shared" si="11"/>
        <v>23173.5</v>
      </c>
      <c r="I65" s="57" t="s">
        <v>261</v>
      </c>
      <c r="J65" s="58" t="s">
        <v>262</v>
      </c>
      <c r="K65" s="57" t="s">
        <v>263</v>
      </c>
      <c r="L65" s="57" t="s">
        <v>264</v>
      </c>
      <c r="M65" s="58" t="s">
        <v>236</v>
      </c>
      <c r="N65" s="58" t="s">
        <v>224</v>
      </c>
      <c r="O65" s="59" t="s">
        <v>220</v>
      </c>
      <c r="P65" s="60" t="s">
        <v>265</v>
      </c>
    </row>
    <row r="66" spans="1:16" ht="12.75" customHeight="1" thickBot="1" x14ac:dyDescent="0.25">
      <c r="A66" s="24" t="str">
        <f t="shared" si="6"/>
        <v>BAVM 225 </v>
      </c>
      <c r="B66" s="5" t="str">
        <f t="shared" si="7"/>
        <v>II</v>
      </c>
      <c r="C66" s="24">
        <f t="shared" si="8"/>
        <v>55857.395799999998</v>
      </c>
      <c r="D66" s="10" t="str">
        <f t="shared" si="9"/>
        <v>vis</v>
      </c>
      <c r="E66" s="56">
        <f>VLOOKUP(C66,Active!C$21:E$969,3,FALSE)</f>
        <v>24246.82121185763</v>
      </c>
      <c r="F66" s="5" t="s">
        <v>66</v>
      </c>
      <c r="G66" s="10" t="str">
        <f t="shared" si="10"/>
        <v>55857.3958</v>
      </c>
      <c r="H66" s="24">
        <f t="shared" si="11"/>
        <v>24246.5</v>
      </c>
      <c r="I66" s="57" t="s">
        <v>271</v>
      </c>
      <c r="J66" s="58" t="s">
        <v>272</v>
      </c>
      <c r="K66" s="57" t="s">
        <v>273</v>
      </c>
      <c r="L66" s="57" t="s">
        <v>274</v>
      </c>
      <c r="M66" s="58" t="s">
        <v>236</v>
      </c>
      <c r="N66" s="58" t="s">
        <v>224</v>
      </c>
      <c r="O66" s="59" t="s">
        <v>275</v>
      </c>
      <c r="P66" s="60" t="s">
        <v>276</v>
      </c>
    </row>
    <row r="67" spans="1:16" x14ac:dyDescent="0.2">
      <c r="B67" s="5"/>
      <c r="E67" s="56"/>
      <c r="F67" s="5"/>
    </row>
    <row r="68" spans="1:16" x14ac:dyDescent="0.2">
      <c r="B68" s="5"/>
      <c r="E68" s="56"/>
      <c r="F68" s="5"/>
    </row>
    <row r="69" spans="1:16" x14ac:dyDescent="0.2">
      <c r="B69" s="5"/>
      <c r="E69" s="56"/>
      <c r="F69" s="5"/>
    </row>
    <row r="70" spans="1:16" x14ac:dyDescent="0.2">
      <c r="B70" s="5"/>
      <c r="E70" s="56"/>
      <c r="F70" s="5"/>
    </row>
    <row r="71" spans="1:16" x14ac:dyDescent="0.2">
      <c r="B71" s="5"/>
      <c r="E71" s="56"/>
      <c r="F71" s="5"/>
    </row>
    <row r="72" spans="1:16" x14ac:dyDescent="0.2">
      <c r="B72" s="5"/>
      <c r="E72" s="56"/>
      <c r="F72" s="5"/>
    </row>
    <row r="73" spans="1:16" x14ac:dyDescent="0.2">
      <c r="B73" s="5"/>
      <c r="E73" s="56"/>
      <c r="F73" s="5"/>
    </row>
    <row r="74" spans="1:16" x14ac:dyDescent="0.2">
      <c r="B74" s="5"/>
      <c r="E74" s="56"/>
      <c r="F74" s="5"/>
    </row>
    <row r="75" spans="1:16" x14ac:dyDescent="0.2">
      <c r="B75" s="5"/>
      <c r="E75" s="56"/>
      <c r="F75" s="5"/>
    </row>
    <row r="76" spans="1:16" x14ac:dyDescent="0.2">
      <c r="B76" s="5"/>
      <c r="E76" s="56"/>
      <c r="F76" s="5"/>
    </row>
    <row r="77" spans="1:16" x14ac:dyDescent="0.2">
      <c r="B77" s="5"/>
      <c r="E77" s="56"/>
      <c r="F77" s="5"/>
    </row>
    <row r="78" spans="1:16" x14ac:dyDescent="0.2">
      <c r="B78" s="5"/>
      <c r="E78" s="56"/>
      <c r="F78" s="5"/>
    </row>
    <row r="79" spans="1:16" x14ac:dyDescent="0.2">
      <c r="B79" s="5"/>
      <c r="E79" s="56"/>
      <c r="F79" s="5"/>
    </row>
    <row r="80" spans="1:16" x14ac:dyDescent="0.2">
      <c r="B80" s="5"/>
      <c r="E80" s="56"/>
      <c r="F80" s="5"/>
    </row>
    <row r="81" spans="2:6" x14ac:dyDescent="0.2">
      <c r="B81" s="5"/>
      <c r="E81" s="56"/>
      <c r="F81" s="5"/>
    </row>
    <row r="82" spans="2:6" x14ac:dyDescent="0.2">
      <c r="B82" s="5"/>
      <c r="E82" s="56"/>
      <c r="F82" s="5"/>
    </row>
    <row r="83" spans="2:6" x14ac:dyDescent="0.2">
      <c r="B83" s="5"/>
      <c r="E83" s="56"/>
      <c r="F83" s="5"/>
    </row>
    <row r="84" spans="2:6" x14ac:dyDescent="0.2">
      <c r="B84" s="5"/>
      <c r="E84" s="56"/>
      <c r="F84" s="5"/>
    </row>
    <row r="85" spans="2:6" x14ac:dyDescent="0.2">
      <c r="B85" s="5"/>
      <c r="E85" s="56"/>
      <c r="F85" s="5"/>
    </row>
    <row r="86" spans="2:6" x14ac:dyDescent="0.2">
      <c r="B86" s="5"/>
      <c r="E86" s="56"/>
      <c r="F86" s="5"/>
    </row>
    <row r="87" spans="2:6" x14ac:dyDescent="0.2">
      <c r="B87" s="5"/>
      <c r="E87" s="56"/>
      <c r="F87" s="5"/>
    </row>
    <row r="88" spans="2:6" x14ac:dyDescent="0.2">
      <c r="B88" s="5"/>
      <c r="E88" s="56"/>
      <c r="F88" s="5"/>
    </row>
    <row r="89" spans="2:6" x14ac:dyDescent="0.2">
      <c r="B89" s="5"/>
      <c r="E89" s="56"/>
      <c r="F89" s="5"/>
    </row>
    <row r="90" spans="2:6" x14ac:dyDescent="0.2">
      <c r="B90" s="5"/>
      <c r="E90" s="56"/>
      <c r="F90" s="5"/>
    </row>
    <row r="91" spans="2:6" x14ac:dyDescent="0.2">
      <c r="B91" s="5"/>
      <c r="E91" s="56"/>
      <c r="F91" s="5"/>
    </row>
    <row r="92" spans="2:6" x14ac:dyDescent="0.2">
      <c r="B92" s="5"/>
      <c r="E92" s="56"/>
      <c r="F92" s="5"/>
    </row>
    <row r="93" spans="2:6" x14ac:dyDescent="0.2">
      <c r="B93" s="5"/>
      <c r="E93" s="56"/>
      <c r="F93" s="5"/>
    </row>
    <row r="94" spans="2:6" x14ac:dyDescent="0.2">
      <c r="B94" s="5"/>
      <c r="E94" s="56"/>
      <c r="F94" s="5"/>
    </row>
    <row r="95" spans="2:6" x14ac:dyDescent="0.2">
      <c r="B95" s="5"/>
      <c r="E95" s="56"/>
      <c r="F95" s="5"/>
    </row>
    <row r="96" spans="2:6" x14ac:dyDescent="0.2">
      <c r="B96" s="5"/>
      <c r="E96" s="56"/>
      <c r="F96" s="5"/>
    </row>
    <row r="97" spans="2:6" x14ac:dyDescent="0.2">
      <c r="B97" s="5"/>
      <c r="E97" s="56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</sheetData>
  <phoneticPr fontId="8" type="noConversion"/>
  <hyperlinks>
    <hyperlink ref="P14" r:id="rId1" display="http://www.konkoly.hu/cgi-bin/IBVS?2344"/>
    <hyperlink ref="P56" r:id="rId2" display="http://www.bav-astro.de/sfs/BAVM_link.php?BAVMnr=68"/>
    <hyperlink ref="P57" r:id="rId3" display="http://www.bav-astro.de/sfs/BAVM_link.php?BAVMnr=68"/>
    <hyperlink ref="P58" r:id="rId4" display="http://www.bav-astro.de/sfs/BAVM_link.php?BAVMnr=68"/>
    <hyperlink ref="P17" r:id="rId5" display="http://www.bav-astro.de/sfs/BAVM_link.php?BAVMnr=133"/>
    <hyperlink ref="P18" r:id="rId6" display="http://www.bav-astro.de/sfs/BAVM_link.php?BAVMnr=152"/>
    <hyperlink ref="P19" r:id="rId7" display="http://www.bav-astro.de/sfs/BAVM_link.php?BAVMnr=152"/>
    <hyperlink ref="P20" r:id="rId8" display="http://www.bav-astro.de/sfs/BAVM_link.php?BAVMnr=172"/>
    <hyperlink ref="P21" r:id="rId9" display="http://www.konkoly.hu/cgi-bin/IBVS?5592"/>
    <hyperlink ref="P22" r:id="rId10" display="http://www.bav-astro.de/sfs/BAVM_link.php?BAVMnr=178"/>
    <hyperlink ref="P23" r:id="rId11" display="http://www.bav-astro.de/sfs/BAVM_link.php?BAVMnr=178"/>
    <hyperlink ref="P61" r:id="rId12" display="http://var.astro.cz/oejv/issues/oejv0094.pdf"/>
    <hyperlink ref="P62" r:id="rId13" display="http://var.astro.cz/oejv/issues/oejv0094.pdf"/>
    <hyperlink ref="P63" r:id="rId14" display="http://var.astro.cz/oejv/issues/oejv0094.pdf"/>
    <hyperlink ref="P64" r:id="rId15" display="http://var.astro.cz/oejv/issues/oejv0094.pdf"/>
    <hyperlink ref="P65" r:id="rId16" display="http://www.bav-astro.de/sfs/BAVM_link.php?BAVMnr=228"/>
    <hyperlink ref="P24" r:id="rId17" display="http://www.bav-astro.de/sfs/BAVM_link.php?BAVMnr=215"/>
    <hyperlink ref="P66" r:id="rId18" display="http://www.bav-astro.de/sfs/BAVM_link.php?BAVMnr=225"/>
    <hyperlink ref="P25" r:id="rId19" display="http://www.konkoly.hu/cgi-bin/IBVS?6029"/>
    <hyperlink ref="P26" r:id="rId20" display="http://www.bav-astro.de/sfs/BAVM_link.php?BAVMnr=239"/>
    <hyperlink ref="P27" r:id="rId21" display="http://www.bav-astro.de/sfs/BAVM_link.php?BAVMnr=239"/>
    <hyperlink ref="P15" r:id="rId2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2023-01-19T03:55:33Z</dcterms:modified>
</cp:coreProperties>
</file>