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3B1F3FE-AF7F-424E-88CF-01BCA6993DE9}" xr6:coauthVersionLast="47" xr6:coauthVersionMax="47" xr10:uidLastSave="{00000000-0000-0000-0000-000000000000}"/>
  <bookViews>
    <workbookView xWindow="14370" yWindow="525" windowWidth="12630" windowHeight="14595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W28" i="1" l="1"/>
  <c r="W27" i="1"/>
  <c r="Q49" i="1"/>
  <c r="Q50" i="1"/>
  <c r="Q48" i="1"/>
  <c r="D12" i="1"/>
  <c r="D11" i="1"/>
  <c r="W3" i="1" s="1"/>
  <c r="D13" i="1"/>
  <c r="Q32" i="1"/>
  <c r="D9" i="1"/>
  <c r="C9" i="1"/>
  <c r="Q47" i="1"/>
  <c r="Q45" i="1"/>
  <c r="Q46" i="1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44" i="1"/>
  <c r="Q21" i="1"/>
  <c r="Q22" i="1"/>
  <c r="Q23" i="1"/>
  <c r="Q24" i="1"/>
  <c r="Q25" i="1"/>
  <c r="Q26" i="1"/>
  <c r="Q27" i="1"/>
  <c r="Q28" i="1"/>
  <c r="Q29" i="1"/>
  <c r="Q30" i="1"/>
  <c r="Q31" i="1"/>
  <c r="Q35" i="1"/>
  <c r="Q38" i="1"/>
  <c r="Q42" i="1"/>
  <c r="Q43" i="1"/>
  <c r="F16" i="1"/>
  <c r="C17" i="1"/>
  <c r="Q41" i="1"/>
  <c r="Q40" i="1"/>
  <c r="Q34" i="1"/>
  <c r="Q33" i="1"/>
  <c r="Q39" i="1"/>
  <c r="Q36" i="1"/>
  <c r="Q37" i="1"/>
  <c r="D4" i="1"/>
  <c r="C8" i="1" s="1"/>
  <c r="C4" i="1"/>
  <c r="C7" i="1" s="1"/>
  <c r="B2" i="1"/>
  <c r="W24" i="1"/>
  <c r="W23" i="1"/>
  <c r="W21" i="1"/>
  <c r="W26" i="1"/>
  <c r="W25" i="1"/>
  <c r="W4" i="1"/>
  <c r="W13" i="1"/>
  <c r="W17" i="1"/>
  <c r="W19" i="1"/>
  <c r="W8" i="1"/>
  <c r="W11" i="1"/>
  <c r="W10" i="1"/>
  <c r="W7" i="1"/>
  <c r="E49" i="1" l="1"/>
  <c r="F49" i="1" s="1"/>
  <c r="G49" i="1" s="1"/>
  <c r="K49" i="1" s="1"/>
  <c r="E32" i="1"/>
  <c r="F32" i="1" s="1"/>
  <c r="E38" i="1"/>
  <c r="F38" i="1" s="1"/>
  <c r="E40" i="1"/>
  <c r="E43" i="1"/>
  <c r="E23" i="1"/>
  <c r="F23" i="1" s="1"/>
  <c r="E47" i="1"/>
  <c r="F47" i="1" s="1"/>
  <c r="G47" i="1" s="1"/>
  <c r="K47" i="1" s="1"/>
  <c r="E42" i="1"/>
  <c r="E44" i="1"/>
  <c r="E41" i="1"/>
  <c r="E29" i="1"/>
  <c r="F29" i="1" s="1"/>
  <c r="E31" i="1"/>
  <c r="F31" i="1" s="1"/>
  <c r="G31" i="1" s="1"/>
  <c r="K31" i="1" s="1"/>
  <c r="E28" i="1"/>
  <c r="F28" i="1" s="1"/>
  <c r="P28" i="1" s="1"/>
  <c r="E50" i="1"/>
  <c r="F50" i="1" s="1"/>
  <c r="G50" i="1" s="1"/>
  <c r="K50" i="1" s="1"/>
  <c r="E46" i="1"/>
  <c r="E21" i="1"/>
  <c r="F21" i="1" s="1"/>
  <c r="G21" i="1" s="1"/>
  <c r="K21" i="1" s="1"/>
  <c r="E35" i="1"/>
  <c r="F35" i="1" s="1"/>
  <c r="G35" i="1" s="1"/>
  <c r="K35" i="1" s="1"/>
  <c r="E24" i="1"/>
  <c r="F24" i="1" s="1"/>
  <c r="G24" i="1" s="1"/>
  <c r="K24" i="1" s="1"/>
  <c r="E39" i="1"/>
  <c r="E36" i="1"/>
  <c r="F36" i="1" s="1"/>
  <c r="P36" i="1" s="1"/>
  <c r="E33" i="1"/>
  <c r="F33" i="1" s="1"/>
  <c r="P33" i="1" s="1"/>
  <c r="E37" i="1"/>
  <c r="E34" i="1"/>
  <c r="F34" i="1" s="1"/>
  <c r="E26" i="1"/>
  <c r="F26" i="1" s="1"/>
  <c r="G26" i="1" s="1"/>
  <c r="K26" i="1" s="1"/>
  <c r="E48" i="1"/>
  <c r="F48" i="1" s="1"/>
  <c r="P48" i="1" s="1"/>
  <c r="E27" i="1"/>
  <c r="F27" i="1" s="1"/>
  <c r="G27" i="1" s="1"/>
  <c r="K27" i="1" s="1"/>
  <c r="E30" i="1"/>
  <c r="F30" i="1" s="1"/>
  <c r="G30" i="1" s="1"/>
  <c r="K30" i="1" s="1"/>
  <c r="E25" i="1"/>
  <c r="F25" i="1" s="1"/>
  <c r="P25" i="1" s="1"/>
  <c r="E22" i="1"/>
  <c r="F22" i="1" s="1"/>
  <c r="P22" i="1" s="1"/>
  <c r="E45" i="1"/>
  <c r="F45" i="1" s="1"/>
  <c r="G45" i="1" s="1"/>
  <c r="K45" i="1" s="1"/>
  <c r="W14" i="1"/>
  <c r="W16" i="1"/>
  <c r="W9" i="1"/>
  <c r="F17" i="1"/>
  <c r="W22" i="1"/>
  <c r="W12" i="1"/>
  <c r="W18" i="1"/>
  <c r="W20" i="1"/>
  <c r="P29" i="1"/>
  <c r="G29" i="1"/>
  <c r="K29" i="1" s="1"/>
  <c r="G48" i="1"/>
  <c r="K48" i="1" s="1"/>
  <c r="G32" i="1"/>
  <c r="K32" i="1" s="1"/>
  <c r="P32" i="1"/>
  <c r="P23" i="1"/>
  <c r="G23" i="1"/>
  <c r="K23" i="1" s="1"/>
  <c r="G38" i="1"/>
  <c r="J38" i="1" s="1"/>
  <c r="P38" i="1"/>
  <c r="P30" i="1"/>
  <c r="P27" i="1"/>
  <c r="R27" i="1" s="1"/>
  <c r="T27" i="1" s="1"/>
  <c r="G28" i="1"/>
  <c r="K28" i="1" s="1"/>
  <c r="P26" i="1"/>
  <c r="R26" i="1" s="1"/>
  <c r="T26" i="1" s="1"/>
  <c r="E13" i="2"/>
  <c r="P31" i="1"/>
  <c r="R31" i="1" s="1"/>
  <c r="T31" i="1" s="1"/>
  <c r="P49" i="1"/>
  <c r="W6" i="1"/>
  <c r="P35" i="1"/>
  <c r="R35" i="1" s="1"/>
  <c r="T35" i="1" s="1"/>
  <c r="W15" i="1"/>
  <c r="P45" i="1"/>
  <c r="R45" i="1" s="1"/>
  <c r="T45" i="1" s="1"/>
  <c r="P21" i="1"/>
  <c r="R21" i="1" s="1"/>
  <c r="T21" i="1" s="1"/>
  <c r="W2" i="1"/>
  <c r="W5" i="1"/>
  <c r="F42" i="1" l="1"/>
  <c r="E17" i="2"/>
  <c r="P50" i="1"/>
  <c r="R50" i="1" s="1"/>
  <c r="T50" i="1" s="1"/>
  <c r="P47" i="1"/>
  <c r="R47" i="1" s="1"/>
  <c r="T47" i="1" s="1"/>
  <c r="G36" i="1"/>
  <c r="K36" i="1" s="1"/>
  <c r="E14" i="2"/>
  <c r="F39" i="1"/>
  <c r="E11" i="2"/>
  <c r="F43" i="1"/>
  <c r="E18" i="2"/>
  <c r="F40" i="1"/>
  <c r="E15" i="2"/>
  <c r="G33" i="1"/>
  <c r="K33" i="1" s="1"/>
  <c r="G22" i="1"/>
  <c r="G25" i="1"/>
  <c r="K25" i="1" s="1"/>
  <c r="P24" i="1"/>
  <c r="R24" i="1" s="1"/>
  <c r="T24" i="1" s="1"/>
  <c r="G34" i="1"/>
  <c r="K34" i="1" s="1"/>
  <c r="P34" i="1"/>
  <c r="R34" i="1" s="1"/>
  <c r="T34" i="1" s="1"/>
  <c r="F41" i="1"/>
  <c r="E16" i="2"/>
  <c r="E12" i="2"/>
  <c r="F37" i="1"/>
  <c r="D15" i="1" s="1"/>
  <c r="C19" i="1" s="1"/>
  <c r="E20" i="2"/>
  <c r="F46" i="1"/>
  <c r="F44" i="1"/>
  <c r="E19" i="2"/>
  <c r="R38" i="1"/>
  <c r="T38" i="1" s="1"/>
  <c r="R29" i="1"/>
  <c r="T29" i="1" s="1"/>
  <c r="R23" i="1"/>
  <c r="T23" i="1" s="1"/>
  <c r="R33" i="1"/>
  <c r="T33" i="1" s="1"/>
  <c r="R30" i="1"/>
  <c r="T30" i="1" s="1"/>
  <c r="R32" i="1"/>
  <c r="T32" i="1" s="1"/>
  <c r="R28" i="1"/>
  <c r="T28" i="1" s="1"/>
  <c r="R48" i="1"/>
  <c r="T48" i="1" s="1"/>
  <c r="R49" i="1"/>
  <c r="T49" i="1" s="1"/>
  <c r="R36" i="1" l="1"/>
  <c r="T36" i="1" s="1"/>
  <c r="P39" i="1"/>
  <c r="G39" i="1"/>
  <c r="K39" i="1" s="1"/>
  <c r="P41" i="1"/>
  <c r="G41" i="1"/>
  <c r="K41" i="1" s="1"/>
  <c r="G40" i="1"/>
  <c r="K40" i="1" s="1"/>
  <c r="P40" i="1"/>
  <c r="R40" i="1" s="1"/>
  <c r="T40" i="1" s="1"/>
  <c r="G44" i="1"/>
  <c r="P44" i="1"/>
  <c r="R44" i="1" s="1"/>
  <c r="T44" i="1" s="1"/>
  <c r="P46" i="1"/>
  <c r="G46" i="1"/>
  <c r="J46" i="1" s="1"/>
  <c r="P43" i="1"/>
  <c r="G43" i="1"/>
  <c r="J43" i="1" s="1"/>
  <c r="G42" i="1"/>
  <c r="J42" i="1" s="1"/>
  <c r="P42" i="1"/>
  <c r="P37" i="1"/>
  <c r="G37" i="1"/>
  <c r="J37" i="1" s="1"/>
  <c r="K22" i="1"/>
  <c r="R22" i="1"/>
  <c r="T22" i="1" s="1"/>
  <c r="D16" i="1"/>
  <c r="D19" i="1" s="1"/>
  <c r="R25" i="1"/>
  <c r="T25" i="1" s="1"/>
  <c r="C11" i="1"/>
  <c r="C12" i="1"/>
  <c r="C16" i="1" l="1"/>
  <c r="D18" i="1" s="1"/>
  <c r="O49" i="1"/>
  <c r="O46" i="1"/>
  <c r="O50" i="1"/>
  <c r="O43" i="1"/>
  <c r="O36" i="1"/>
  <c r="O45" i="1"/>
  <c r="O47" i="1"/>
  <c r="O40" i="1"/>
  <c r="O42" i="1"/>
  <c r="O37" i="1"/>
  <c r="O39" i="1"/>
  <c r="O38" i="1"/>
  <c r="C15" i="1"/>
  <c r="O44" i="1"/>
  <c r="O41" i="1"/>
  <c r="O48" i="1"/>
  <c r="E14" i="1"/>
  <c r="R42" i="1"/>
  <c r="T42" i="1" s="1"/>
  <c r="K44" i="1"/>
  <c r="R43" i="1"/>
  <c r="T43" i="1" s="1"/>
  <c r="R41" i="1"/>
  <c r="T41" i="1" s="1"/>
  <c r="R46" i="1"/>
  <c r="T46" i="1" s="1"/>
  <c r="R39" i="1"/>
  <c r="T39" i="1" s="1"/>
  <c r="R37" i="1"/>
  <c r="T37" i="1" s="1"/>
  <c r="C18" i="1" l="1"/>
  <c r="F18" i="1"/>
  <c r="F19" i="1" s="1"/>
</calcChain>
</file>

<file path=xl/sharedStrings.xml><?xml version="1.0" encoding="utf-8"?>
<sst xmlns="http://schemas.openxmlformats.org/spreadsheetml/2006/main" count="205" uniqueCount="129">
  <si>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</si>
  <si>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</si>
  <si>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</si>
  <si>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</si>
  <si>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</si>
  <si>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</si>
  <si>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</si>
  <si>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</si>
  <si>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</si>
  <si>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</si>
  <si>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</si>
  <si>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</si>
  <si>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</si>
  <si>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</si>
  <si>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</si>
  <si>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</si>
  <si>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</si>
  <si>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</si>
  <si>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</si>
  <si>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</si>
  <si>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</si>
  <si>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</si>
  <si>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</si>
  <si>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</si>
  <si>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</si>
  <si>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</si>
  <si>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</si>
  <si>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</si>
  <si>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</si>
  <si>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</si>
  <si>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</si>
  <si>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</si>
  <si>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</si>
  <si>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</si>
  <si>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</si>
  <si>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V0592 Lyr / GSC 2632-0319               </t>
  </si>
  <si>
    <t xml:space="preserve">EW        </t>
  </si>
  <si>
    <t>IBVS 5781</t>
  </si>
  <si>
    <t>II</t>
  </si>
  <si>
    <t>IBVS 5837</t>
  </si>
  <si>
    <t>IBVS 5952</t>
  </si>
  <si>
    <t>IBVS 5438</t>
  </si>
  <si>
    <t>IBVS 5653</t>
  </si>
  <si>
    <t>IBVS 5920</t>
  </si>
  <si>
    <t>IBVS 5945</t>
  </si>
  <si>
    <t>Add cycle</t>
  </si>
  <si>
    <t>Old Cycle</t>
  </si>
  <si>
    <t>IBVS 5232</t>
  </si>
  <si>
    <t>IBVS 5918</t>
  </si>
  <si>
    <t>IBVS 6010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</si>
  <si>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</si>
  <si>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</si>
  <si>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</si>
  <si>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</si>
  <si>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</si>
  <si>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</si>
  <si>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</si>
  <si>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</si>
  <si>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</si>
  <si>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</si>
  <si>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</si>
  <si>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</si>
  <si>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2454017.2705 </t>
  </si>
  <si>
    <t> 08.10.2006 18:29 </t>
  </si>
  <si>
    <t> 0.0074 </t>
  </si>
  <si>
    <t>C </t>
  </si>
  <si>
    <t>R</t>
  </si>
  <si>
    <t> E.Blättler </t>
  </si>
  <si>
    <t>IBVS 5781 </t>
  </si>
  <si>
    <t>2454387.3600 </t>
  </si>
  <si>
    <t> 13.10.2007 20:38 </t>
  </si>
  <si>
    <t> 0.0098 </t>
  </si>
  <si>
    <t>IBVS 5837 </t>
  </si>
  <si>
    <t>2454596.5001 </t>
  </si>
  <si>
    <t> 10.05.2008 00:00 </t>
  </si>
  <si>
    <t> 0.0088 </t>
  </si>
  <si>
    <t>-I</t>
  </si>
  <si>
    <t> M.&amp; K.Rätz </t>
  </si>
  <si>
    <t>BAVM 209 </t>
  </si>
  <si>
    <t>2455049.8215 </t>
  </si>
  <si>
    <t> 06.08.2009 07:42 </t>
  </si>
  <si>
    <t>8193.5</t>
  </si>
  <si>
    <t> 0.0135 </t>
  </si>
  <si>
    <t>IBVS 5920 </t>
  </si>
  <si>
    <t>2455104.4195 </t>
  </si>
  <si>
    <t> 29.09.2009 22:04 </t>
  </si>
  <si>
    <t>8347</t>
  </si>
  <si>
    <t> 0.0143 </t>
  </si>
  <si>
    <t> R.Nelson </t>
  </si>
  <si>
    <t>IBVS 5929 </t>
  </si>
  <si>
    <t>2455338.8124 </t>
  </si>
  <si>
    <t> 22.05.2010 07:29 </t>
  </si>
  <si>
    <t>9006</t>
  </si>
  <si>
    <t> 0.0128 </t>
  </si>
  <si>
    <t> R.Diethelm </t>
  </si>
  <si>
    <t>IBVS 5945 </t>
  </si>
  <si>
    <t>2455673.5112 </t>
  </si>
  <si>
    <t> 22.04.2011 00:16 </t>
  </si>
  <si>
    <t>9947</t>
  </si>
  <si>
    <t> 0.0148 </t>
  </si>
  <si>
    <t> F.Agerer </t>
  </si>
  <si>
    <t>BAVM 220 </t>
  </si>
  <si>
    <t>2455705.5241 </t>
  </si>
  <si>
    <t> 24.05.2011 00:34 </t>
  </si>
  <si>
    <t>10037</t>
  </si>
  <si>
    <t> 0.0164 </t>
  </si>
  <si>
    <t>2456087.8856 </t>
  </si>
  <si>
    <t> 09.06.2012 09:15 </t>
  </si>
  <si>
    <t>11112</t>
  </si>
  <si>
    <t> 0.0197 </t>
  </si>
  <si>
    <t>IBVS 6029 </t>
  </si>
  <si>
    <t>2457143.5612 </t>
  </si>
  <si>
    <t> 01.05.2015 01:28 </t>
  </si>
  <si>
    <t>14080</t>
  </si>
  <si>
    <t> 0.0311 </t>
  </si>
  <si>
    <t> W.Moschner &amp; P.Frank </t>
  </si>
  <si>
    <t>BAVM 241 (=IBVS 6157) </t>
  </si>
  <si>
    <t>IBVS 6157</t>
  </si>
  <si>
    <t>OEJV 0179</t>
  </si>
  <si>
    <t>RHN 2018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</si>
  <si>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</si>
  <si>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</si>
  <si>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</si>
  <si>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</si>
  <si>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Linear Ephemeris =</t>
  </si>
  <si>
    <t>Quad. Ephemeris =</t>
  </si>
  <si>
    <t>OEJV 0203</t>
  </si>
  <si>
    <t>JBAV, 63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</si>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</sst>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32" fillId="0" borderId="0"/>
    <xf numFmtId="0" fontId="21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8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7" fillId="0" borderId="0" xfId="0" applyFont="1" applyAlignment="1"/>
    <xf numFmtId="0" fontId="5" fillId="0" borderId="0" xfId="0" applyFont="1" applyAlignment="1"/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11" fontId="0" fillId="0" borderId="0" xfId="0" applyNumberFormat="1" applyAlignment="1"/>
    <xf numFmtId="0" fontId="0" fillId="0" borderId="21" xfId="0" applyBorder="1" applyAlignment="1"/>
    <xf numFmtId="0" fontId="12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7" fillId="0" borderId="8" xfId="0" applyFont="1" applyFill="1" applyBorder="1" applyAlignment="1">
      <alignment horizontal="center"/>
    </xf>
    <xf numFmtId="0" fontId="14" fillId="0" borderId="0" xfId="0" applyFont="1" applyAlignment="1"/>
    <xf numFmtId="14" fontId="32" fillId="0" borderId="0" xfId="0" applyNumberFormat="1" applyFont="1" applyAlignment="1"/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38" fillId="0" borderId="0" xfId="0" applyFont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76" fontId="39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V592 Lyr - O-C Diagr.</a:t>
            </a:r>
          </a:p>
        </c:rich>
      </c:tx>
      <c:layout>
        <c:manualLayout>
          <c:xMode val="edge"/>
          <c:yMode val="edge"/>
          <c:x val="0.37744360902255641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1954887218045114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20281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7E-4530-B601-5DAEFBC8A7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20281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7E-4530-B601-5DAEFBC8A7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20281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16">
                  <c:v>3.8325999994412996E-3</c:v>
                </c:pt>
                <c:pt idx="17">
                  <c:v>2.3873999962233938E-3</c:v>
                </c:pt>
                <c:pt idx="21">
                  <c:v>5.6661999988136813E-3</c:v>
                </c:pt>
                <c:pt idx="22">
                  <c:v>7.1051999984774739E-3</c:v>
                </c:pt>
                <c:pt idx="25">
                  <c:v>1.8240499994135462E-2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7E-4530-B601-5DAEFBC8A7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20281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0">
                  <c:v>1.0019999972428195E-3</c:v>
                </c:pt>
                <c:pt idx="1">
                  <c:v>7.4704999860841781E-4</c:v>
                </c:pt>
                <c:pt idx="2">
                  <c:v>-1.1860500017064624E-3</c:v>
                </c:pt>
                <c:pt idx="3">
                  <c:v>-1.27500003145542E-4</c:v>
                </c:pt>
                <c:pt idx="4">
                  <c:v>-1.1512999990372919E-3</c:v>
                </c:pt>
                <c:pt idx="5">
                  <c:v>1.0440499972901307E-3</c:v>
                </c:pt>
                <c:pt idx="6">
                  <c:v>1.4757999961148016E-3</c:v>
                </c:pt>
                <c:pt idx="7">
                  <c:v>1.734349993057549E-3</c:v>
                </c:pt>
                <c:pt idx="8">
                  <c:v>-3.1215999988489784E-3</c:v>
                </c:pt>
                <c:pt idx="9">
                  <c:v>1.7105500010075048E-3</c:v>
                </c:pt>
                <c:pt idx="10">
                  <c:v>-1.9309000053908676E-3</c:v>
                </c:pt>
                <c:pt idx="11">
                  <c:v>0</c:v>
                </c:pt>
                <c:pt idx="12">
                  <c:v>2.4701500005903654E-3</c:v>
                </c:pt>
                <c:pt idx="13">
                  <c:v>-1.7030000017257407E-3</c:v>
                </c:pt>
                <c:pt idx="14">
                  <c:v>-2.6825000022654422E-3</c:v>
                </c:pt>
                <c:pt idx="15">
                  <c:v>2.3900499945739284E-3</c:v>
                </c:pt>
                <c:pt idx="18">
                  <c:v>5.9313499950803816E-3</c:v>
                </c:pt>
                <c:pt idx="19">
                  <c:v>6.6061999968951568E-3</c:v>
                </c:pt>
                <c:pt idx="20">
                  <c:v>4.4751000023097731E-3</c:v>
                </c:pt>
                <c:pt idx="23">
                  <c:v>9.4877000010455959E-3</c:v>
                </c:pt>
                <c:pt idx="24">
                  <c:v>1.7258649997529574E-2</c:v>
                </c:pt>
                <c:pt idx="26">
                  <c:v>3.03681500008679E-2</c:v>
                </c:pt>
                <c:pt idx="27">
                  <c:v>3.2630699999572244E-2</c:v>
                </c:pt>
                <c:pt idx="28">
                  <c:v>4.5524499997554813E-2</c:v>
                </c:pt>
                <c:pt idx="29">
                  <c:v>3.4905099993920885E-2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7E-4530-B601-5DAEFBC8A7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20281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7E-4530-B601-5DAEFBC8A7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20281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7E-4530-B601-5DAEFBC8A7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20281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7E-4530-B601-5DAEFBC8A7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20281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15">
                  <c:v>-8.3600822113706983E-3</c:v>
                </c:pt>
                <c:pt idx="16">
                  <c:v>-5.1152959410713066E-3</c:v>
                </c:pt>
                <c:pt idx="17">
                  <c:v>-3.281625276067901E-3</c:v>
                </c:pt>
                <c:pt idx="18">
                  <c:v>6.9288707520223647E-4</c:v>
                </c:pt>
                <c:pt idx="19">
                  <c:v>1.1715749103689416E-3</c:v>
                </c:pt>
                <c:pt idx="20">
                  <c:v>3.2266581896839841E-3</c:v>
                </c:pt>
                <c:pt idx="21">
                  <c:v>6.1611549511945349E-3</c:v>
                </c:pt>
                <c:pt idx="22">
                  <c:v>6.4418188284909757E-3</c:v>
                </c:pt>
                <c:pt idx="23">
                  <c:v>9.794192918420673E-3</c:v>
                </c:pt>
                <c:pt idx="24">
                  <c:v>1.866473068475092E-2</c:v>
                </c:pt>
                <c:pt idx="25">
                  <c:v>1.9049863894152148E-2</c:v>
                </c:pt>
                <c:pt idx="26">
                  <c:v>2.8784222705050329E-2</c:v>
                </c:pt>
                <c:pt idx="27">
                  <c:v>2.9534218954936922E-2</c:v>
                </c:pt>
                <c:pt idx="28">
                  <c:v>4.100401607378476E-2</c:v>
                </c:pt>
                <c:pt idx="29">
                  <c:v>4.1584054753530733E-2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7E-4530-B601-5DAEFBC8A725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Active!$V$2:$V$28</c:f>
              <c:numCache>
                <c:formatCode>General</c:formatCode>
                <c:ptCount val="27"/>
                <c:pt idx="0">
                  <c:v>-5000</c:v>
                </c:pt>
                <c:pt idx="1">
                  <c:v>-4000</c:v>
                </c:pt>
                <c:pt idx="2">
                  <c:v>-3000</c:v>
                </c:pt>
                <c:pt idx="3">
                  <c:v>-2000</c:v>
                </c:pt>
                <c:pt idx="4">
                  <c:v>-1000</c:v>
                </c:pt>
                <c:pt idx="5">
                  <c:v>0</c:v>
                </c:pt>
                <c:pt idx="6">
                  <c:v>1000</c:v>
                </c:pt>
                <c:pt idx="7">
                  <c:v>2000</c:v>
                </c:pt>
                <c:pt idx="8">
                  <c:v>3000</c:v>
                </c:pt>
                <c:pt idx="9">
                  <c:v>4000</c:v>
                </c:pt>
                <c:pt idx="10">
                  <c:v>5000</c:v>
                </c:pt>
                <c:pt idx="11">
                  <c:v>6000</c:v>
                </c:pt>
                <c:pt idx="12">
                  <c:v>7000</c:v>
                </c:pt>
                <c:pt idx="13">
                  <c:v>8000</c:v>
                </c:pt>
                <c:pt idx="14">
                  <c:v>9000</c:v>
                </c:pt>
                <c:pt idx="15">
                  <c:v>10000</c:v>
                </c:pt>
                <c:pt idx="16">
                  <c:v>11000</c:v>
                </c:pt>
                <c:pt idx="17">
                  <c:v>12000</c:v>
                </c:pt>
                <c:pt idx="18">
                  <c:v>13000</c:v>
                </c:pt>
                <c:pt idx="19">
                  <c:v>14000</c:v>
                </c:pt>
                <c:pt idx="20">
                  <c:v>15000</c:v>
                </c:pt>
                <c:pt idx="21">
                  <c:v>16000</c:v>
                </c:pt>
                <c:pt idx="22">
                  <c:v>17000</c:v>
                </c:pt>
                <c:pt idx="23">
                  <c:v>18000</c:v>
                </c:pt>
                <c:pt idx="24">
                  <c:v>19000</c:v>
                </c:pt>
                <c:pt idx="25">
                  <c:v>20000</c:v>
                </c:pt>
                <c:pt idx="26">
                  <c:v>21000</c:v>
                </c:pt>
              </c:numCache>
            </c:numRef>
          </c:xVal>
          <c:yVal>
            <c:numRef>
              <c:f>Active!$W$2:$W$28</c:f>
              <c:numCache>
                <c:formatCode>General</c:formatCode>
                <c:ptCount val="27"/>
                <c:pt idx="0">
                  <c:v>4.0182631564982599E-3</c:v>
                </c:pt>
                <c:pt idx="1">
                  <c:v>2.624647208812044E-3</c:v>
                </c:pt>
                <c:pt idx="2">
                  <c:v>1.4872528798509292E-3</c:v>
                </c:pt>
                <c:pt idx="3">
                  <c:v>6.0608016961491624E-4</c:v>
                </c:pt>
                <c:pt idx="4">
                  <c:v>-1.887092189599505E-5</c:v>
                </c:pt>
                <c:pt idx="5">
                  <c:v>-3.8760039468180453E-4</c:v>
                </c:pt>
                <c:pt idx="6">
                  <c:v>-5.0010824874251224E-4</c:v>
                </c:pt>
                <c:pt idx="7">
                  <c:v>-3.5639448407811831E-4</c:v>
                </c:pt>
                <c:pt idx="8">
                  <c:v>4.3540899311377435E-5</c:v>
                </c:pt>
                <c:pt idx="9">
                  <c:v>6.9969790142597509E-4</c:v>
                </c:pt>
                <c:pt idx="10">
                  <c:v>1.6120765222656741E-3</c:v>
                </c:pt>
                <c:pt idx="11">
                  <c:v>2.7806767618304747E-3</c:v>
                </c:pt>
                <c:pt idx="12">
                  <c:v>4.2054986201203771E-3</c:v>
                </c:pt>
                <c:pt idx="13">
                  <c:v>5.8865420971353829E-3</c:v>
                </c:pt>
                <c:pt idx="14">
                  <c:v>7.8238071928754885E-3</c:v>
                </c:pt>
                <c:pt idx="15">
                  <c:v>1.0017293907340696E-2</c:v>
                </c:pt>
                <c:pt idx="16">
                  <c:v>1.2467002240531004E-2</c:v>
                </c:pt>
                <c:pt idx="17">
                  <c:v>1.5172932192446417E-2</c:v>
                </c:pt>
                <c:pt idx="18">
                  <c:v>1.813508376308693E-2</c:v>
                </c:pt>
                <c:pt idx="19">
                  <c:v>2.1353456952452544E-2</c:v>
                </c:pt>
                <c:pt idx="20">
                  <c:v>2.4828051760543261E-2</c:v>
                </c:pt>
                <c:pt idx="21">
                  <c:v>2.8558868187359081E-2</c:v>
                </c:pt>
                <c:pt idx="22">
                  <c:v>3.2545906232899997E-2</c:v>
                </c:pt>
                <c:pt idx="23">
                  <c:v>3.6789165897166021E-2</c:v>
                </c:pt>
                <c:pt idx="24">
                  <c:v>4.1288647180157144E-2</c:v>
                </c:pt>
                <c:pt idx="25">
                  <c:v>4.6044350081873367E-2</c:v>
                </c:pt>
                <c:pt idx="26">
                  <c:v>5.1056274602314697E-2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7E-4530-B601-5DAEFBC8A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952040"/>
        <c:axId val="1"/>
      </c:scatterChart>
      <c:valAx>
        <c:axId val="445952040"/>
        <c:scaling>
          <c:orientation val="minMax"/>
          <c:max val="20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952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441860465116277"/>
          <c:w val="0.71879699248120299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E066C08-5BAE-8FC4-F2A5-C5CB82639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09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837" TargetMode="External"/><Relationship Id="rId1" Type="http://schemas.openxmlformats.org/officeDocument/2006/relationships/hyperlink" Target="http://www.konkoly.hu/cgi-bin/IBVS?5781" TargetMode="External"/><Relationship Id="rId6" Type="http://schemas.openxmlformats.org/officeDocument/2006/relationships/hyperlink" Target="http://www.konkoly.hu/cgi-bin/IBVS?5945" TargetMode="External"/><Relationship Id="rId5" Type="http://schemas.openxmlformats.org/officeDocument/2006/relationships/hyperlink" Target="http://www.konkoly.hu/cgi-bin/IBVS?5929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5920" TargetMode="External"/><Relationship Id="rId9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22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6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35</v>
      </c>
      <c r="F1" s="3">
        <v>52500.102700000003</v>
      </c>
      <c r="G1" s="3">
        <v>0.35568290000000002</v>
      </c>
      <c r="H1" s="3" t="s">
        <v>36</v>
      </c>
      <c r="V1" s="4" t="s">
        <v>8</v>
      </c>
      <c r="W1" s="6" t="s">
        <v>19</v>
      </c>
    </row>
    <row r="2" spans="1:23" x14ac:dyDescent="0.2">
      <c r="A2" t="s">
        <v>21</v>
      </c>
      <c r="B2" t="str">
        <f>H1</f>
        <v xml:space="preserve">EW        </v>
      </c>
      <c r="C2" s="3"/>
      <c r="D2" s="3"/>
      <c r="V2" s="67">
        <v>-5000</v>
      </c>
      <c r="W2" s="67">
        <f>+D$11+D$12*V2+D$13*V2^2</f>
        <v>4.0182631564982599E-3</v>
      </c>
    </row>
    <row r="3" spans="1:23" ht="13.5" thickBot="1" x14ac:dyDescent="0.25">
      <c r="V3" s="67">
        <v>-4000</v>
      </c>
      <c r="W3" s="67">
        <f>+D$11+D$12*V3+D$13*V3^2</f>
        <v>2.624647208812044E-3</v>
      </c>
    </row>
    <row r="4" spans="1:23" ht="14.25" thickTop="1" thickBot="1" x14ac:dyDescent="0.25">
      <c r="A4" s="5" t="s">
        <v>34</v>
      </c>
      <c r="C4" s="8">
        <f>F1</f>
        <v>52500.102700000003</v>
      </c>
      <c r="D4" s="9">
        <f>G1</f>
        <v>0.35568290000000002</v>
      </c>
      <c r="V4" s="67">
        <v>-3000</v>
      </c>
      <c r="W4" s="67">
        <f t="shared" ref="W4:W23" si="0">+D$11+D$12*V4+D$13*V4^2</f>
        <v>1.4872528798509292E-3</v>
      </c>
    </row>
    <row r="5" spans="1:23" ht="13.5" thickTop="1" x14ac:dyDescent="0.2">
      <c r="A5" s="11" t="s">
        <v>26</v>
      </c>
      <c r="B5" s="12"/>
      <c r="C5" s="13">
        <v>-9.5</v>
      </c>
      <c r="D5" s="12" t="s">
        <v>27</v>
      </c>
      <c r="V5" s="67">
        <v>-2000</v>
      </c>
      <c r="W5" s="67">
        <f t="shared" si="0"/>
        <v>6.0608016961491624E-4</v>
      </c>
    </row>
    <row r="6" spans="1:23" x14ac:dyDescent="0.2">
      <c r="A6" s="5" t="s">
        <v>0</v>
      </c>
      <c r="V6" s="67">
        <v>-1000</v>
      </c>
      <c r="W6" s="67">
        <f t="shared" si="0"/>
        <v>-1.887092189599505E-5</v>
      </c>
    </row>
    <row r="7" spans="1:23" x14ac:dyDescent="0.2">
      <c r="A7" t="s">
        <v>1</v>
      </c>
      <c r="C7">
        <f>C4</f>
        <v>52500.102700000003</v>
      </c>
      <c r="V7" s="67">
        <v>0</v>
      </c>
      <c r="W7" s="67">
        <f t="shared" si="0"/>
        <v>-3.8760039468180453E-4</v>
      </c>
    </row>
    <row r="8" spans="1:23" x14ac:dyDescent="0.2">
      <c r="A8" t="s">
        <v>2</v>
      </c>
      <c r="C8">
        <f>D4</f>
        <v>0.35568290000000002</v>
      </c>
      <c r="D8" s="27"/>
      <c r="V8" s="67">
        <v>1000</v>
      </c>
      <c r="W8" s="67">
        <f t="shared" si="0"/>
        <v>-5.0010824874251224E-4</v>
      </c>
    </row>
    <row r="9" spans="1:23" x14ac:dyDescent="0.2">
      <c r="A9" s="24" t="s">
        <v>31</v>
      </c>
      <c r="B9" s="25">
        <v>44</v>
      </c>
      <c r="C9" s="22" t="str">
        <f>"F"&amp;B9</f>
        <v>F44</v>
      </c>
      <c r="D9" s="23" t="str">
        <f>"G"&amp;B9</f>
        <v>G44</v>
      </c>
      <c r="V9" s="67">
        <v>2000</v>
      </c>
      <c r="W9" s="67">
        <f t="shared" si="0"/>
        <v>-3.5639448407811831E-4</v>
      </c>
    </row>
    <row r="10" spans="1:23" ht="13.5" thickBot="1" x14ac:dyDescent="0.25">
      <c r="A10" s="12"/>
      <c r="B10" s="12"/>
      <c r="C10" s="4" t="s">
        <v>17</v>
      </c>
      <c r="D10" s="4" t="s">
        <v>18</v>
      </c>
      <c r="E10" s="12"/>
      <c r="V10" s="67">
        <v>3000</v>
      </c>
      <c r="W10" s="67">
        <f t="shared" si="0"/>
        <v>4.3540899311377435E-5</v>
      </c>
    </row>
    <row r="11" spans="1:23" x14ac:dyDescent="0.2">
      <c r="A11" s="12" t="s">
        <v>13</v>
      </c>
      <c r="B11" s="12"/>
      <c r="C11" s="21">
        <f ca="1">INTERCEPT(INDIRECT($D$9):G991,INDIRECT($C$9):F991)</f>
        <v>-2.1661990751459179E-2</v>
      </c>
      <c r="D11" s="3">
        <f>+E11*F11</f>
        <v>-3.8760039468180453E-4</v>
      </c>
      <c r="E11" s="58">
        <v>-3.8760039468180453E-4</v>
      </c>
      <c r="F11">
        <v>1</v>
      </c>
      <c r="V11" s="67">
        <v>4000</v>
      </c>
      <c r="W11" s="67">
        <f t="shared" si="0"/>
        <v>6.9969790142597509E-4</v>
      </c>
    </row>
    <row r="12" spans="1:23" x14ac:dyDescent="0.2">
      <c r="A12" s="12" t="s">
        <v>14</v>
      </c>
      <c r="B12" s="12"/>
      <c r="C12" s="21">
        <f ca="1">SLOPE(INDIRECT($D$9):G991,INDIRECT($C$9):F991)</f>
        <v>3.1184875255159958E-6</v>
      </c>
      <c r="D12" s="3">
        <f>+E12*F12</f>
        <v>-2.4061866342325862E-7</v>
      </c>
      <c r="E12" s="59">
        <v>-2.406186634232586E-3</v>
      </c>
      <c r="F12" s="60">
        <v>1E-4</v>
      </c>
      <c r="V12" s="67">
        <v>5000</v>
      </c>
      <c r="W12" s="67">
        <f t="shared" si="0"/>
        <v>1.6120765222656741E-3</v>
      </c>
    </row>
    <row r="13" spans="1:23" ht="13.5" thickBot="1" x14ac:dyDescent="0.25">
      <c r="A13" s="12" t="s">
        <v>16</v>
      </c>
      <c r="B13" s="12"/>
      <c r="C13" s="3" t="s">
        <v>11</v>
      </c>
      <c r="D13" s="3">
        <f>+E13*F13</f>
        <v>1.2811080936255086E-10</v>
      </c>
      <c r="E13" s="61">
        <v>1.2811080936255086E-2</v>
      </c>
      <c r="F13" s="60">
        <v>1E-8</v>
      </c>
      <c r="V13" s="67">
        <v>6000</v>
      </c>
      <c r="W13" s="67">
        <f t="shared" si="0"/>
        <v>2.7806767618304747E-3</v>
      </c>
    </row>
    <row r="14" spans="1:23" x14ac:dyDescent="0.2">
      <c r="A14" s="12"/>
      <c r="B14" s="12"/>
      <c r="C14" s="12"/>
      <c r="E14">
        <f>SUM(T21:T949)</f>
        <v>2.2867999603526083E-4</v>
      </c>
      <c r="V14" s="67">
        <v>7000</v>
      </c>
      <c r="W14" s="67">
        <f t="shared" si="0"/>
        <v>4.2054986201203771E-3</v>
      </c>
    </row>
    <row r="15" spans="1:23" x14ac:dyDescent="0.2">
      <c r="A15" s="14" t="s">
        <v>15</v>
      </c>
      <c r="B15" s="12"/>
      <c r="C15" s="15">
        <f ca="1">(C7+C11)+(C8+C12)*INT(MAX(F21:F3532))</f>
        <v>59713.749178954757</v>
      </c>
      <c r="D15" s="23">
        <f>+C7+INT(MAX(F21:F1587))*C8+D11+D12*INT(MAX(F21:F4022))+D13*INT(MAX(F21:F4049)^2)</f>
        <v>59713.755021717494</v>
      </c>
      <c r="E15" s="16" t="s">
        <v>45</v>
      </c>
      <c r="F15" s="13">
        <v>1</v>
      </c>
      <c r="V15" s="67">
        <v>8000</v>
      </c>
      <c r="W15" s="67">
        <f t="shared" si="0"/>
        <v>5.8865420971353829E-3</v>
      </c>
    </row>
    <row r="16" spans="1:23" x14ac:dyDescent="0.2">
      <c r="A16" s="18" t="s">
        <v>3</v>
      </c>
      <c r="B16" s="12"/>
      <c r="C16" s="19">
        <f ca="1">+C8+C12</f>
        <v>0.35568601848752551</v>
      </c>
      <c r="D16" s="23">
        <f>+C8+D12+2*D13*MAX(F21:F895)</f>
        <v>0.35568785581198598</v>
      </c>
      <c r="E16" s="16" t="s">
        <v>28</v>
      </c>
      <c r="F16" s="17">
        <f ca="1">NOW()+15018.5+$C$5/24</f>
        <v>59963.72413761574</v>
      </c>
      <c r="V16" s="67">
        <v>9000</v>
      </c>
      <c r="W16" s="67">
        <f t="shared" si="0"/>
        <v>7.8238071928754885E-3</v>
      </c>
    </row>
    <row r="17" spans="1:23" ht="13.5" thickBot="1" x14ac:dyDescent="0.25">
      <c r="A17" s="16" t="s">
        <v>25</v>
      </c>
      <c r="B17" s="12"/>
      <c r="C17" s="12">
        <f>COUNT(C21:C2190)</f>
        <v>30</v>
      </c>
      <c r="E17" s="16" t="s">
        <v>46</v>
      </c>
      <c r="F17" s="17">
        <f ca="1">ROUND(2*(F16-$C$7)/$C$8,0)/2+F15</f>
        <v>20985</v>
      </c>
      <c r="V17" s="67">
        <v>10000</v>
      </c>
      <c r="W17" s="67">
        <f t="shared" si="0"/>
        <v>1.0017293907340696E-2</v>
      </c>
    </row>
    <row r="18" spans="1:23" ht="14.25" thickTop="1" thickBot="1" x14ac:dyDescent="0.25">
      <c r="A18" s="5" t="s">
        <v>124</v>
      </c>
      <c r="C18" s="70">
        <f ca="1">+C15</f>
        <v>59713.749178954757</v>
      </c>
      <c r="D18" s="71">
        <f ca="1">C16</f>
        <v>0.35568601848752551</v>
      </c>
      <c r="E18" s="16" t="s">
        <v>29</v>
      </c>
      <c r="F18" s="23">
        <f ca="1">ROUND(2*(F16-$C$15)/$C$16,0)/2+F15</f>
        <v>704</v>
      </c>
      <c r="V18" s="67">
        <v>11000</v>
      </c>
      <c r="W18" s="67">
        <f t="shared" si="0"/>
        <v>1.2467002240531004E-2</v>
      </c>
    </row>
    <row r="19" spans="1:23" ht="13.5" thickBot="1" x14ac:dyDescent="0.25">
      <c r="A19" s="5" t="s">
        <v>125</v>
      </c>
      <c r="C19" s="72">
        <f>+D15</f>
        <v>59713.755021717494</v>
      </c>
      <c r="D19" s="73">
        <f>+D16</f>
        <v>0.35568785581198598</v>
      </c>
      <c r="E19" s="16" t="s">
        <v>30</v>
      </c>
      <c r="F19" s="20">
        <f ca="1">+$C$15+$C$16*F18-15018.5-$C$5/24</f>
        <v>44946.047969303312</v>
      </c>
      <c r="V19" s="67">
        <v>12000</v>
      </c>
      <c r="W19" s="67">
        <f t="shared" si="0"/>
        <v>1.5172932192446417E-2</v>
      </c>
    </row>
    <row r="20" spans="1:23" ht="15" thickBot="1" x14ac:dyDescent="0.25">
      <c r="A20" s="4" t="s">
        <v>4</v>
      </c>
      <c r="B20" s="4" t="s">
        <v>5</v>
      </c>
      <c r="C20" s="4" t="s">
        <v>6</v>
      </c>
      <c r="D20" s="4" t="s">
        <v>10</v>
      </c>
      <c r="E20" s="4" t="s">
        <v>7</v>
      </c>
      <c r="F20" s="4" t="s">
        <v>8</v>
      </c>
      <c r="G20" s="4" t="s">
        <v>9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22</v>
      </c>
      <c r="M20" s="7" t="s">
        <v>23</v>
      </c>
      <c r="N20" s="7" t="s">
        <v>24</v>
      </c>
      <c r="O20" s="7" t="s">
        <v>20</v>
      </c>
      <c r="P20" s="62" t="s">
        <v>19</v>
      </c>
      <c r="Q20" s="4" t="s">
        <v>12</v>
      </c>
      <c r="R20" s="63" t="s">
        <v>120</v>
      </c>
      <c r="S20" s="6" t="s">
        <v>121</v>
      </c>
      <c r="T20" s="63" t="s">
        <v>122</v>
      </c>
      <c r="U20" s="64" t="s">
        <v>123</v>
      </c>
      <c r="V20" s="67">
        <v>13000</v>
      </c>
      <c r="W20" s="67">
        <f t="shared" si="0"/>
        <v>1.813508376308693E-2</v>
      </c>
    </row>
    <row r="21" spans="1:23" x14ac:dyDescent="0.2">
      <c r="A21" s="30" t="s">
        <v>47</v>
      </c>
      <c r="B21" s="32" t="s">
        <v>32</v>
      </c>
      <c r="C21" s="30">
        <v>51297.895499999999</v>
      </c>
      <c r="D21" s="30">
        <v>8.0000000000000004E-4</v>
      </c>
      <c r="E21">
        <f>+(C21-C$7)/C$8</f>
        <v>-3379.9971828839798</v>
      </c>
      <c r="F21">
        <f>ROUND(2*E21,0)/2</f>
        <v>-3380</v>
      </c>
      <c r="G21">
        <f>+C21-(C$7+F21*C$8)</f>
        <v>1.0019999972428195E-3</v>
      </c>
      <c r="K21">
        <f>+G21</f>
        <v>1.0019999972428195E-3</v>
      </c>
      <c r="P21" s="65">
        <f>+D$11+D$12*F21+D$13*F21^2</f>
        <v>1.8892798181703357E-3</v>
      </c>
      <c r="Q21" s="2">
        <f>+C21-15018.5</f>
        <v>36279.395499999999</v>
      </c>
      <c r="R21" s="67">
        <f>+(P21-G21)^2</f>
        <v>7.8726548062516526E-7</v>
      </c>
      <c r="S21" s="68">
        <v>1</v>
      </c>
      <c r="T21" s="67">
        <f>+S21*R21</f>
        <v>7.8726548062516526E-7</v>
      </c>
      <c r="V21" s="67">
        <v>14000</v>
      </c>
      <c r="W21" s="67">
        <f t="shared" si="0"/>
        <v>2.1353456952452544E-2</v>
      </c>
    </row>
    <row r="22" spans="1:23" x14ac:dyDescent="0.2">
      <c r="A22" s="30" t="s">
        <v>47</v>
      </c>
      <c r="B22" s="32" t="s">
        <v>38</v>
      </c>
      <c r="C22" s="30">
        <v>52121.478999999999</v>
      </c>
      <c r="D22" s="30">
        <v>5.9999999999999995E-4</v>
      </c>
      <c r="E22">
        <f>+(C22-C$7)/C$8</f>
        <v>-1064.4978996741302</v>
      </c>
      <c r="F22">
        <f>ROUND(2*E22,0)/2</f>
        <v>-1064.5</v>
      </c>
      <c r="G22">
        <f>+C22-(C$7+F22*C$8)</f>
        <v>7.4704999860841781E-4</v>
      </c>
      <c r="K22">
        <f>+G22</f>
        <v>7.4704999860841781E-4</v>
      </c>
      <c r="P22" s="65">
        <f>+D$11+D$12*F22+D$13*F22^2</f>
        <v>1.3708249297224762E-5</v>
      </c>
      <c r="Q22" s="2">
        <f>+C22-15018.5</f>
        <v>37102.978999999999</v>
      </c>
      <c r="R22" s="67">
        <f>+(P22-G22)^2</f>
        <v>5.3779012128280071E-7</v>
      </c>
      <c r="S22" s="68">
        <v>1</v>
      </c>
      <c r="T22" s="67">
        <f>+S22*R22</f>
        <v>5.3779012128280071E-7</v>
      </c>
      <c r="V22" s="67">
        <v>15000</v>
      </c>
      <c r="W22" s="67">
        <f t="shared" si="0"/>
        <v>2.4828051760543261E-2</v>
      </c>
    </row>
    <row r="23" spans="1:23" x14ac:dyDescent="0.2">
      <c r="A23" s="30" t="s">
        <v>47</v>
      </c>
      <c r="B23" s="32" t="s">
        <v>38</v>
      </c>
      <c r="C23" s="80">
        <v>52135.348700000002</v>
      </c>
      <c r="D23" s="80">
        <v>2.0000000000000001E-4</v>
      </c>
      <c r="E23">
        <f>+(C23-C$7)/C$8</f>
        <v>-1025.5033345713296</v>
      </c>
      <c r="F23">
        <f>ROUND(2*E23,0)/2</f>
        <v>-1025.5</v>
      </c>
      <c r="G23">
        <f>+C23-(C$7+F23*C$8)</f>
        <v>-1.1860500017064624E-3</v>
      </c>
      <c r="K23">
        <f>+G23</f>
        <v>-1.1860500017064624E-3</v>
      </c>
      <c r="P23" s="65">
        <f>+D$11+D$12*F23+D$13*F23^2</f>
        <v>-6.1181906474238712E-6</v>
      </c>
      <c r="Q23" s="2">
        <f>+C23-15018.5</f>
        <v>37116.848700000002</v>
      </c>
      <c r="R23" s="67">
        <f>+(P23-G23)^2</f>
        <v>1.3922390787490624E-6</v>
      </c>
      <c r="S23" s="68">
        <v>1</v>
      </c>
      <c r="T23" s="67">
        <f>+S23*R23</f>
        <v>1.3922390787490624E-6</v>
      </c>
      <c r="V23" s="67">
        <v>16000</v>
      </c>
      <c r="W23" s="67">
        <f t="shared" si="0"/>
        <v>2.8558868187359081E-2</v>
      </c>
    </row>
    <row r="24" spans="1:23" x14ac:dyDescent="0.2">
      <c r="A24" s="30" t="s">
        <v>47</v>
      </c>
      <c r="B24" s="32" t="s">
        <v>32</v>
      </c>
      <c r="C24" s="33">
        <v>52135.527600000001</v>
      </c>
      <c r="D24" s="33">
        <v>1.6000000000000001E-3</v>
      </c>
      <c r="E24">
        <f>+(C24-C$7)/C$8</f>
        <v>-1025.0003584653684</v>
      </c>
      <c r="F24">
        <f>ROUND(2*E24,0)/2</f>
        <v>-1025</v>
      </c>
      <c r="G24">
        <f>+C24-(C$7+F24*C$8)</f>
        <v>-1.27500003145542E-4</v>
      </c>
      <c r="K24">
        <f>+G24</f>
        <v>-1.27500003145542E-4</v>
      </c>
      <c r="P24" s="65">
        <f>+D$11+D$12*F24+D$13*F24^2</f>
        <v>-6.3698455864344427E-6</v>
      </c>
      <c r="Q24" s="2">
        <f>+C24-15018.5</f>
        <v>37117.027600000001</v>
      </c>
      <c r="R24" s="67">
        <f>+(P24-G24)^2</f>
        <v>1.4672515070294221E-8</v>
      </c>
      <c r="S24" s="68">
        <v>1</v>
      </c>
      <c r="T24" s="67">
        <f>+S24*R24</f>
        <v>1.4672515070294221E-8</v>
      </c>
      <c r="V24" s="67">
        <v>17000</v>
      </c>
      <c r="W24" s="67">
        <f>+D$11+D$12*V24+D$13*V24^2</f>
        <v>3.2545906232899997E-2</v>
      </c>
    </row>
    <row r="25" spans="1:23" x14ac:dyDescent="0.2">
      <c r="A25" s="30" t="s">
        <v>47</v>
      </c>
      <c r="B25" s="32" t="s">
        <v>32</v>
      </c>
      <c r="C25" s="30">
        <v>52143.351600000002</v>
      </c>
      <c r="D25" s="30">
        <v>1.4E-3</v>
      </c>
      <c r="E25">
        <f>+(C25-C$7)/C$8</f>
        <v>-1003.0032368719477</v>
      </c>
      <c r="F25">
        <f>ROUND(2*E25,0)/2</f>
        <v>-1003</v>
      </c>
      <c r="G25">
        <f>+C25-(C$7+F25*C$8)</f>
        <v>-1.1512999990372919E-3</v>
      </c>
      <c r="K25">
        <f>+G25</f>
        <v>-1.1512999990372919E-3</v>
      </c>
      <c r="P25" s="65">
        <f>+D$11+D$12*F25+D$13*F25^2</f>
        <v>-1.7379248052265696E-5</v>
      </c>
      <c r="Q25" s="2">
        <f>+C25-15018.5</f>
        <v>37124.851600000002</v>
      </c>
      <c r="R25" s="67">
        <f>+(P25-G25)^2</f>
        <v>1.2857762695144457E-6</v>
      </c>
      <c r="S25" s="68">
        <v>1</v>
      </c>
      <c r="T25" s="67">
        <f>+S25*R25</f>
        <v>1.2857762695144457E-6</v>
      </c>
      <c r="V25" s="67">
        <v>18000</v>
      </c>
      <c r="W25" s="67">
        <f>+D$11+D$12*V25+D$13*V25^2</f>
        <v>3.6789165897166021E-2</v>
      </c>
    </row>
    <row r="26" spans="1:23" x14ac:dyDescent="0.2">
      <c r="A26" s="30" t="s">
        <v>47</v>
      </c>
      <c r="B26" s="32" t="s">
        <v>38</v>
      </c>
      <c r="C26" s="30">
        <v>52146.377099999998</v>
      </c>
      <c r="D26" s="30">
        <v>8.9999999999999998E-4</v>
      </c>
      <c r="E26">
        <f>+(C26-C$7)/C$8</f>
        <v>-994.49706466069972</v>
      </c>
      <c r="F26">
        <f>ROUND(2*E26,0)/2</f>
        <v>-994.5</v>
      </c>
      <c r="G26">
        <f>+C26-(C$7+F26*C$8)</f>
        <v>1.0440499972901307E-3</v>
      </c>
      <c r="K26">
        <f>+G26</f>
        <v>1.0440499972901307E-3</v>
      </c>
      <c r="P26" s="65">
        <f>+D$11+D$12*F26+D$13*F26^2</f>
        <v>-2.1599668095827814E-5</v>
      </c>
      <c r="Q26" s="2">
        <f>+C26-15018.5</f>
        <v>37127.877099999998</v>
      </c>
      <c r="R26" s="67">
        <f>+(P26-G26)^2</f>
        <v>1.1356092093372053E-6</v>
      </c>
      <c r="S26" s="68">
        <v>1</v>
      </c>
      <c r="T26" s="67">
        <f>+S26*R26</f>
        <v>1.1356092093372053E-6</v>
      </c>
      <c r="V26" s="67">
        <v>19000</v>
      </c>
      <c r="W26" s="67">
        <f>+D$11+D$12*V26+D$13*V26^2</f>
        <v>4.1288647180157144E-2</v>
      </c>
    </row>
    <row r="27" spans="1:23" x14ac:dyDescent="0.2">
      <c r="A27" s="30" t="s">
        <v>47</v>
      </c>
      <c r="B27" s="32" t="s">
        <v>32</v>
      </c>
      <c r="C27" s="30">
        <v>52179.278200000001</v>
      </c>
      <c r="D27" s="30">
        <v>1.1999999999999999E-3</v>
      </c>
      <c r="E27">
        <f>+(C27-C$7)/C$8</f>
        <v>-901.99585079856922</v>
      </c>
      <c r="F27">
        <f>ROUND(2*E27,0)/2</f>
        <v>-902</v>
      </c>
      <c r="G27">
        <f>+C27-(C$7+F27*C$8)</f>
        <v>1.4757999961148016E-3</v>
      </c>
      <c r="K27">
        <f>+G27</f>
        <v>1.4757999961148016E-3</v>
      </c>
      <c r="P27" s="65">
        <f>+D$11+D$12*F27+D$13*F27^2</f>
        <v>-6.6330893333416433E-5</v>
      </c>
      <c r="Q27" s="2">
        <f>+C27-15018.5</f>
        <v>37160.778200000001</v>
      </c>
      <c r="R27" s="67">
        <f>+(P27-G27)^2</f>
        <v>2.378167680190352E-6</v>
      </c>
      <c r="S27" s="68">
        <v>1</v>
      </c>
      <c r="T27" s="67">
        <f>+S27*R27</f>
        <v>2.378167680190352E-6</v>
      </c>
      <c r="V27" s="81">
        <v>20000</v>
      </c>
      <c r="W27" s="81">
        <f>+D$11+D$12*V27+D$13*V27^2</f>
        <v>4.6044350081873367E-2</v>
      </c>
    </row>
    <row r="28" spans="1:23" x14ac:dyDescent="0.2">
      <c r="A28" s="30" t="s">
        <v>47</v>
      </c>
      <c r="B28" s="32" t="s">
        <v>38</v>
      </c>
      <c r="C28" s="30">
        <v>52179.456299999998</v>
      </c>
      <c r="D28" s="30">
        <v>5.0000000000000001E-4</v>
      </c>
      <c r="E28">
        <f>+(C28-C$7)/C$8</f>
        <v>-901.49512388704954</v>
      </c>
      <c r="F28">
        <f>ROUND(2*E28,0)/2</f>
        <v>-901.5</v>
      </c>
      <c r="G28">
        <f>+C28-(C$7+F28*C$8)</f>
        <v>1.734349993057549E-3</v>
      </c>
      <c r="K28">
        <f>+G28</f>
        <v>1.734349993057549E-3</v>
      </c>
      <c r="P28" s="65">
        <f>+D$11+D$12*F28+D$13*F28^2</f>
        <v>-6.6566726587470744E-5</v>
      </c>
      <c r="Q28" s="2">
        <f>+C28-15018.5</f>
        <v>37160.956299999998</v>
      </c>
      <c r="R28" s="67">
        <f>+(P28-G28)^2</f>
        <v>3.2433010310969789E-6</v>
      </c>
      <c r="S28" s="68">
        <v>1</v>
      </c>
      <c r="T28" s="67">
        <f>+S28*R28</f>
        <v>3.2433010310969789E-6</v>
      </c>
      <c r="V28" s="81">
        <v>21000</v>
      </c>
      <c r="W28" s="81">
        <f>+D$11+D$12*V28+D$13*V28^2</f>
        <v>5.1056274602314697E-2</v>
      </c>
    </row>
    <row r="29" spans="1:23" x14ac:dyDescent="0.2">
      <c r="A29" s="30" t="s">
        <v>47</v>
      </c>
      <c r="B29" s="32" t="s">
        <v>32</v>
      </c>
      <c r="C29" s="30">
        <v>52181.407700000003</v>
      </c>
      <c r="D29" s="30">
        <v>1.5E-3</v>
      </c>
      <c r="E29">
        <f>+(C29-C$7)/C$8</f>
        <v>-896.00877635669212</v>
      </c>
      <c r="F29">
        <f>ROUND(2*E29,0)/2</f>
        <v>-896</v>
      </c>
      <c r="G29">
        <f>+C29-(C$7+F29*C$8)</f>
        <v>-3.1215999988489784E-3</v>
      </c>
      <c r="K29">
        <f>+G29</f>
        <v>-3.1215999988489784E-3</v>
      </c>
      <c r="P29" s="65">
        <f>+D$11+D$12*F29+D$13*F29^2</f>
        <v>-6.9156664725359188E-5</v>
      </c>
      <c r="Q29" s="2">
        <f>+C29-15018.5</f>
        <v>37162.907700000003</v>
      </c>
      <c r="R29" s="67">
        <f>+(P29-G29)^2</f>
        <v>9.3174103080357156E-6</v>
      </c>
      <c r="S29" s="68">
        <v>1</v>
      </c>
      <c r="T29" s="67">
        <f>+S29*R29</f>
        <v>9.3174103080357156E-6</v>
      </c>
      <c r="V29" s="67"/>
      <c r="W29" s="67"/>
    </row>
    <row r="30" spans="1:23" x14ac:dyDescent="0.2">
      <c r="A30" s="30" t="s">
        <v>47</v>
      </c>
      <c r="B30" s="32" t="s">
        <v>38</v>
      </c>
      <c r="C30" s="30">
        <v>52187.281300000002</v>
      </c>
      <c r="D30" s="30">
        <v>8.9999999999999998E-4</v>
      </c>
      <c r="E30">
        <f>+(C30-C$7)/C$8</f>
        <v>-879.49519080057178</v>
      </c>
      <c r="F30">
        <f>ROUND(2*E30,0)/2</f>
        <v>-879.5</v>
      </c>
      <c r="G30">
        <f>+C30-(C$7+F30*C$8)</f>
        <v>1.7105500010075048E-3</v>
      </c>
      <c r="K30">
        <f>+G30</f>
        <v>1.7105500010075048E-3</v>
      </c>
      <c r="P30" s="65">
        <f>+D$11+D$12*F30+D$13*F30^2</f>
        <v>-7.6879974915225894E-5</v>
      </c>
      <c r="Q30" s="2">
        <f>+C30-15018.5</f>
        <v>37168.781300000002</v>
      </c>
      <c r="R30" s="67">
        <f>+(P30-G30)^2</f>
        <v>3.1949059188271338E-6</v>
      </c>
      <c r="S30" s="68">
        <v>1</v>
      </c>
      <c r="T30" s="67">
        <f>+S30*R30</f>
        <v>3.1949059188271338E-6</v>
      </c>
      <c r="V30" s="67"/>
    </row>
    <row r="31" spans="1:23" x14ac:dyDescent="0.2">
      <c r="A31" s="30" t="s">
        <v>47</v>
      </c>
      <c r="B31" s="32" t="s">
        <v>32</v>
      </c>
      <c r="C31" s="30">
        <v>52187.455499999996</v>
      </c>
      <c r="D31" s="30">
        <v>2.8E-3</v>
      </c>
      <c r="E31">
        <f>+(C31-C$7)/C$8</f>
        <v>-879.0054287119417</v>
      </c>
      <c r="F31">
        <f>ROUND(2*E31,0)/2</f>
        <v>-879</v>
      </c>
      <c r="G31">
        <f>+C31-(C$7+F31*C$8)</f>
        <v>-1.9309000053908676E-3</v>
      </c>
      <c r="K31">
        <f>+G31</f>
        <v>-1.9309000053908676E-3</v>
      </c>
      <c r="P31" s="65">
        <f>+D$11+D$12*F31+D$13*F31^2</f>
        <v>-7.7112925676069559E-5</v>
      </c>
      <c r="Q31" s="2">
        <f>+C31-15018.5</f>
        <v>37168.955499999996</v>
      </c>
      <c r="R31" s="67">
        <f>+(P31-G31)^2</f>
        <v>3.4365265369175194E-6</v>
      </c>
      <c r="S31" s="68">
        <v>1</v>
      </c>
      <c r="T31" s="67">
        <f>+S31*R31</f>
        <v>3.4365265369175194E-6</v>
      </c>
      <c r="V31" s="67"/>
    </row>
    <row r="32" spans="1:23" x14ac:dyDescent="0.2">
      <c r="A32" s="29" t="s">
        <v>33</v>
      </c>
      <c r="B32" s="28" t="s">
        <v>32</v>
      </c>
      <c r="C32" s="29">
        <v>52500.102700000003</v>
      </c>
      <c r="D32" s="26"/>
      <c r="E32">
        <f>+(C32-C$7)/C$8</f>
        <v>0</v>
      </c>
      <c r="F32">
        <f>ROUND(2*E32,0)/2</f>
        <v>0</v>
      </c>
      <c r="G32">
        <f>+C32-(C$7+F32*C$8)</f>
        <v>0</v>
      </c>
      <c r="K32">
        <f>+G32</f>
        <v>0</v>
      </c>
      <c r="P32" s="65">
        <f>+D$11+D$12*F32+D$13*F32^2</f>
        <v>-3.8760039468180453E-4</v>
      </c>
      <c r="Q32" s="66">
        <f>+C32-15018.5</f>
        <v>37481.602700000003</v>
      </c>
      <c r="R32" s="67">
        <f>+(P32-G32)^2</f>
        <v>1.5023406595749064E-7</v>
      </c>
      <c r="S32" s="68">
        <v>1</v>
      </c>
      <c r="T32" s="67">
        <f>+S32*R32</f>
        <v>1.5023406595749064E-7</v>
      </c>
      <c r="U32" s="69"/>
      <c r="V32" s="67"/>
    </row>
    <row r="33" spans="1:20" x14ac:dyDescent="0.2">
      <c r="A33" s="34" t="s">
        <v>41</v>
      </c>
      <c r="B33" s="35" t="s">
        <v>38</v>
      </c>
      <c r="C33" s="34">
        <v>52783.406600000002</v>
      </c>
      <c r="D33" s="34">
        <v>8.9999999999999998E-4</v>
      </c>
      <c r="E33">
        <f>+(C33-C$7)/C$8</f>
        <v>796.50694480954508</v>
      </c>
      <c r="F33">
        <f>ROUND(2*E33,0)/2</f>
        <v>796.5</v>
      </c>
      <c r="G33">
        <f>+C33-(C$7+F33*C$8)</f>
        <v>2.4701500005903654E-3</v>
      </c>
      <c r="K33">
        <f>+G33</f>
        <v>2.4701500005903654E-3</v>
      </c>
      <c r="P33" s="65">
        <f>+D$11+D$12*F33+D$13*F33^2</f>
        <v>-4.9797809328141302E-4</v>
      </c>
      <c r="Q33" s="2">
        <f>+C33-15018.5</f>
        <v>37764.906600000002</v>
      </c>
      <c r="R33" s="67">
        <f>+(P33-G33)^2</f>
        <v>8.8097843816309158E-6</v>
      </c>
      <c r="S33" s="68">
        <v>1</v>
      </c>
      <c r="T33" s="67">
        <f>+S33*R33</f>
        <v>8.8097843816309158E-6</v>
      </c>
    </row>
    <row r="34" spans="1:20" x14ac:dyDescent="0.2">
      <c r="A34" s="30" t="s">
        <v>42</v>
      </c>
      <c r="B34" s="32" t="s">
        <v>32</v>
      </c>
      <c r="C34" s="30">
        <v>53236.364600000001</v>
      </c>
      <c r="D34" s="30">
        <v>5.0000000000000001E-4</v>
      </c>
      <c r="E34">
        <f>+(C34-C$7)/C$8</f>
        <v>2069.9952120273356</v>
      </c>
      <c r="F34">
        <f>ROUND(2*E34,0)/2</f>
        <v>2070</v>
      </c>
      <c r="G34">
        <f>+C34-(C$7+F34*C$8)</f>
        <v>-1.7030000017257407E-3</v>
      </c>
      <c r="K34">
        <f>+G34</f>
        <v>-1.7030000017257407E-3</v>
      </c>
      <c r="P34" s="65">
        <f>+D$11+D$12*F34+D$13*F34^2</f>
        <v>-3.3673902093035572E-4</v>
      </c>
      <c r="Q34" s="2">
        <f>+C34-15018.5</f>
        <v>38217.864600000001</v>
      </c>
      <c r="R34" s="67">
        <f>+(P34-G34)^2</f>
        <v>1.8666690676439674E-6</v>
      </c>
      <c r="S34" s="68">
        <v>1</v>
      </c>
      <c r="T34" s="67">
        <f>+S34*R34</f>
        <v>1.8666690676439674E-6</v>
      </c>
    </row>
    <row r="35" spans="1:20" x14ac:dyDescent="0.2">
      <c r="A35" s="30" t="s">
        <v>42</v>
      </c>
      <c r="B35" s="32" t="s">
        <v>32</v>
      </c>
      <c r="C35" s="30">
        <v>53540.472500000003</v>
      </c>
      <c r="D35" s="30">
        <v>1.9E-3</v>
      </c>
      <c r="E35">
        <f>+(C35-C$7)/C$8</f>
        <v>2924.9924581699047</v>
      </c>
      <c r="F35">
        <f>ROUND(2*E35,0)/2</f>
        <v>2925</v>
      </c>
      <c r="G35">
        <f>+C35-(C$7+F35*C$8)</f>
        <v>-2.6825000022654422E-3</v>
      </c>
      <c r="K35">
        <f>+G35</f>
        <v>-2.6825000022654422E-3</v>
      </c>
      <c r="P35" s="65">
        <f>+D$11+D$12*F35+D$13*F35^2</f>
        <v>4.6580581576382597E-6</v>
      </c>
      <c r="Q35" s="2">
        <f>+C35-15018.5</f>
        <v>38521.972500000003</v>
      </c>
      <c r="R35" s="67">
        <f>+(P35-G35)^2</f>
        <v>7.2208184416967319E-6</v>
      </c>
      <c r="S35" s="68">
        <v>1</v>
      </c>
      <c r="T35" s="67">
        <f>+S35*R35</f>
        <v>7.2208184416967319E-6</v>
      </c>
    </row>
    <row r="36" spans="1:20" x14ac:dyDescent="0.2">
      <c r="A36" s="30" t="s">
        <v>37</v>
      </c>
      <c r="B36" s="28" t="s">
        <v>38</v>
      </c>
      <c r="C36" s="29">
        <v>54017.270499999999</v>
      </c>
      <c r="D36" s="29">
        <v>8.0000000000000004E-4</v>
      </c>
      <c r="E36">
        <f>+(C36-C$7)/C$8</f>
        <v>4265.5067196089421</v>
      </c>
      <c r="F36">
        <f>ROUND(2*E36,0)/2</f>
        <v>4265.5</v>
      </c>
      <c r="G36">
        <f>+C36-(C$7+F36*C$8)</f>
        <v>2.3900499945739284E-3</v>
      </c>
      <c r="K36">
        <f>+G36</f>
        <v>2.3900499945739284E-3</v>
      </c>
      <c r="O36">
        <f ca="1">+C$11+C$12*$F36</f>
        <v>-8.3600822113706983E-3</v>
      </c>
      <c r="P36" s="65">
        <f>+D$11+D$12*F36+D$13*F36^2</f>
        <v>9.1695156835282644E-4</v>
      </c>
      <c r="Q36" s="2">
        <f>+C36-15018.5</f>
        <v>38998.770499999999</v>
      </c>
      <c r="R36" s="67">
        <f>+(P36-G36)^2</f>
        <v>2.1700189733350876E-6</v>
      </c>
      <c r="S36" s="68">
        <v>1</v>
      </c>
      <c r="T36" s="67">
        <f>+S36*R36</f>
        <v>2.1700189733350876E-6</v>
      </c>
    </row>
    <row r="37" spans="1:20" x14ac:dyDescent="0.2">
      <c r="A37" s="31" t="s">
        <v>39</v>
      </c>
      <c r="B37" s="28" t="s">
        <v>32</v>
      </c>
      <c r="C37" s="29">
        <v>54387.360000000001</v>
      </c>
      <c r="D37" s="29"/>
      <c r="E37">
        <f>+(C37-C$7)/C$8</f>
        <v>5306.0107753282418</v>
      </c>
      <c r="F37">
        <f>ROUND(2*E37,0)/2</f>
        <v>5306</v>
      </c>
      <c r="G37">
        <f>+C37-(C$7+F37*C$8)</f>
        <v>3.8325999994412996E-3</v>
      </c>
      <c r="J37">
        <f>+G37</f>
        <v>3.8325999994412996E-3</v>
      </c>
      <c r="O37">
        <f ca="1">+C$11+C$12*$F37</f>
        <v>-5.1152959410713066E-3</v>
      </c>
      <c r="P37" s="65">
        <f>+D$11+D$12*F37+D$13*F37^2</f>
        <v>1.9424620716530345E-3</v>
      </c>
      <c r="Q37" s="2">
        <f>+C37-15018.5</f>
        <v>39368.86</v>
      </c>
      <c r="R37" s="67">
        <f>+(P37-G37)^2</f>
        <v>3.572621386063717E-6</v>
      </c>
      <c r="S37" s="68">
        <v>1</v>
      </c>
      <c r="T37" s="67">
        <f>+S37*R37</f>
        <v>3.572621386063717E-6</v>
      </c>
    </row>
    <row r="38" spans="1:20" x14ac:dyDescent="0.2">
      <c r="A38" s="30" t="s">
        <v>48</v>
      </c>
      <c r="B38" s="32" t="s">
        <v>32</v>
      </c>
      <c r="C38" s="30">
        <v>54596.500099999997</v>
      </c>
      <c r="D38" s="30">
        <v>1E-4</v>
      </c>
      <c r="E38">
        <f>+(C38-C$7)/C$8</f>
        <v>5894.0067121584825</v>
      </c>
      <c r="F38">
        <f>ROUND(2*E38,0)/2</f>
        <v>5894</v>
      </c>
      <c r="G38">
        <f>+C38-(C$7+F38*C$8)</f>
        <v>2.3873999962233938E-3</v>
      </c>
      <c r="J38">
        <f>+G38</f>
        <v>2.3873999962233938E-3</v>
      </c>
      <c r="O38">
        <f ca="1">+C$11+C$12*$F38</f>
        <v>-3.281625276067901E-3</v>
      </c>
      <c r="P38" s="65">
        <f>+D$11+D$12*F38+D$13*F38^2</f>
        <v>2.6446648436981735E-3</v>
      </c>
      <c r="Q38" s="2">
        <f>+C38-15018.5</f>
        <v>39578.000099999997</v>
      </c>
      <c r="R38" s="67">
        <f>+(P38-G38)^2</f>
        <v>6.6185201746221661E-8</v>
      </c>
      <c r="S38" s="68">
        <v>1</v>
      </c>
      <c r="T38" s="67">
        <f>+S38*R38</f>
        <v>6.6185201746221661E-8</v>
      </c>
    </row>
    <row r="39" spans="1:20" x14ac:dyDescent="0.2">
      <c r="A39" s="36" t="s">
        <v>40</v>
      </c>
      <c r="B39" s="37"/>
      <c r="C39" s="29">
        <v>55049.821499999998</v>
      </c>
      <c r="D39" s="29">
        <v>2.0000000000000001E-4</v>
      </c>
      <c r="E39">
        <f>+(C39-C$7)/C$8</f>
        <v>7168.5166759492649</v>
      </c>
      <c r="F39">
        <f>ROUND(2*E39,0)/2</f>
        <v>7168.5</v>
      </c>
      <c r="G39">
        <f>+C39-(C$7+F39*C$8)</f>
        <v>5.9313499950803816E-3</v>
      </c>
      <c r="K39">
        <f>+G39</f>
        <v>5.9313499950803816E-3</v>
      </c>
      <c r="O39">
        <f ca="1">+C$11+C$12*$F39</f>
        <v>6.9288707520223647E-4</v>
      </c>
      <c r="P39" s="65">
        <f>+D$11+D$12*F39+D$13*F39^2</f>
        <v>4.4708051287469398E-3</v>
      </c>
      <c r="Q39" s="2">
        <f>+C39-15018.5</f>
        <v>40031.321499999998</v>
      </c>
      <c r="R39" s="67">
        <f>+(P39-G39)^2</f>
        <v>2.1331913065729714E-6</v>
      </c>
      <c r="S39" s="68">
        <v>1</v>
      </c>
      <c r="T39" s="67">
        <f>+S39*R39</f>
        <v>2.1331913065729714E-6</v>
      </c>
    </row>
    <row r="40" spans="1:20" x14ac:dyDescent="0.2">
      <c r="A40" s="30" t="s">
        <v>43</v>
      </c>
      <c r="B40" s="32" t="s">
        <v>32</v>
      </c>
      <c r="C40" s="30">
        <v>55104.419500000004</v>
      </c>
      <c r="D40" s="30">
        <v>1E-3</v>
      </c>
      <c r="E40">
        <f>+(C40-C$7)/C$8</f>
        <v>7322.0185732853624</v>
      </c>
      <c r="F40">
        <f>ROUND(2*E40,0)/2</f>
        <v>7322</v>
      </c>
      <c r="G40">
        <f>+C40-(C$7+F40*C$8)</f>
        <v>6.6061999968951568E-3</v>
      </c>
      <c r="K40">
        <f>+G40</f>
        <v>6.6061999968951568E-3</v>
      </c>
      <c r="O40">
        <f ca="1">+C$11+C$12*$F40</f>
        <v>1.1715749103689416E-3</v>
      </c>
      <c r="P40" s="65">
        <f>+D$11+D$12*F40+D$13*F40^2</f>
        <v>4.7188259802624141E-3</v>
      </c>
      <c r="Q40" s="2">
        <f>+C40-15018.5</f>
        <v>40085.919500000004</v>
      </c>
      <c r="R40" s="67">
        <f>+(P40-G40)^2</f>
        <v>3.5621806786604125E-6</v>
      </c>
      <c r="S40" s="68">
        <v>1</v>
      </c>
      <c r="T40" s="67">
        <f>+S40*R40</f>
        <v>3.5621806786604125E-6</v>
      </c>
    </row>
    <row r="41" spans="1:20" x14ac:dyDescent="0.2">
      <c r="A41" s="30" t="s">
        <v>44</v>
      </c>
      <c r="B41" s="32" t="s">
        <v>32</v>
      </c>
      <c r="C41" s="30">
        <v>55338.812400000003</v>
      </c>
      <c r="D41" s="30">
        <v>1E-4</v>
      </c>
      <c r="E41">
        <f>+(C41-C$7)/C$8</f>
        <v>7981.012581712529</v>
      </c>
      <c r="F41">
        <f>ROUND(2*E41,0)/2</f>
        <v>7981</v>
      </c>
      <c r="G41">
        <f>+C41-(C$7+F41*C$8)</f>
        <v>4.4751000023097731E-3</v>
      </c>
      <c r="K41">
        <f>+G41</f>
        <v>4.4751000023097731E-3</v>
      </c>
      <c r="O41">
        <f ca="1">+C$11+C$12*$F41</f>
        <v>3.2266581896839841E-3</v>
      </c>
      <c r="P41" s="65">
        <f>+D$11+D$12*F41+D$13*F41^2</f>
        <v>5.8522144136963876E-3</v>
      </c>
      <c r="Q41" s="2">
        <f>+C41-15018.5</f>
        <v>40320.312400000003</v>
      </c>
      <c r="R41" s="67">
        <f>+(P41-G41)^2</f>
        <v>1.8964441020487017E-6</v>
      </c>
      <c r="S41" s="68">
        <v>1</v>
      </c>
      <c r="T41" s="67">
        <f>+S41*R41</f>
        <v>1.8964441020487017E-6</v>
      </c>
    </row>
    <row r="42" spans="1:20" x14ac:dyDescent="0.2">
      <c r="A42" s="30" t="s">
        <v>49</v>
      </c>
      <c r="B42" s="32" t="s">
        <v>32</v>
      </c>
      <c r="C42" s="30">
        <v>55673.511200000001</v>
      </c>
      <c r="D42" s="30">
        <v>2.9999999999999997E-4</v>
      </c>
      <c r="E42">
        <f>+(C42-C$7)/C$8</f>
        <v>8922.0159304818917</v>
      </c>
      <c r="F42">
        <f>ROUND(2*E42,0)/2</f>
        <v>8922</v>
      </c>
      <c r="G42">
        <f>+C42-(C$7+F42*C$8)</f>
        <v>5.6661999988136813E-3</v>
      </c>
      <c r="J42">
        <f>+G42</f>
        <v>5.6661999988136813E-3</v>
      </c>
      <c r="O42">
        <f ca="1">+C$11+C$12*$F42</f>
        <v>6.1611549511945349E-3</v>
      </c>
      <c r="P42" s="65">
        <f>+D$11+D$12*F42+D$13*F42^2</f>
        <v>7.663487298441643E-3</v>
      </c>
      <c r="Q42" s="2">
        <f>+C42-15018.5</f>
        <v>40655.011200000001</v>
      </c>
      <c r="R42" s="67">
        <f>+(P42-G42)^2</f>
        <v>3.9891565572551548E-6</v>
      </c>
      <c r="S42" s="68">
        <v>1</v>
      </c>
      <c r="T42" s="67">
        <f>+S42*R42</f>
        <v>3.9891565572551548E-6</v>
      </c>
    </row>
    <row r="43" spans="1:20" x14ac:dyDescent="0.2">
      <c r="A43" s="30" t="s">
        <v>49</v>
      </c>
      <c r="B43" s="32" t="s">
        <v>32</v>
      </c>
      <c r="C43" s="30">
        <v>55705.524100000002</v>
      </c>
      <c r="D43" s="30">
        <v>2.9999999999999997E-4</v>
      </c>
      <c r="E43">
        <f>+(C43-C$7)/C$8</f>
        <v>9012.0199762203883</v>
      </c>
      <c r="F43">
        <f>ROUND(2*E43,0)/2</f>
        <v>9012</v>
      </c>
      <c r="G43">
        <f>+C43-(C$7+F43*C$8)</f>
        <v>7.1051999984774739E-3</v>
      </c>
      <c r="J43">
        <f>+G43</f>
        <v>7.1051999984774739E-3</v>
      </c>
      <c r="O43">
        <f ca="1">+C$11+C$12*$F43</f>
        <v>6.4418188284909757E-3</v>
      </c>
      <c r="P43" s="65">
        <f>+D$11+D$12*F43+D$13*F43^2</f>
        <v>7.848610151693268E-3</v>
      </c>
      <c r="Q43" s="2">
        <f>+C43-15018.5</f>
        <v>40687.024100000002</v>
      </c>
      <c r="R43" s="67">
        <f>+(P43-G43)^2</f>
        <v>5.5265865590433046E-7</v>
      </c>
      <c r="S43" s="68">
        <v>1</v>
      </c>
      <c r="T43" s="67">
        <f>+S43*R43</f>
        <v>5.5265865590433046E-7</v>
      </c>
    </row>
    <row r="44" spans="1:20" x14ac:dyDescent="0.2">
      <c r="A44" s="56" t="s">
        <v>50</v>
      </c>
      <c r="B44" s="57" t="s">
        <v>32</v>
      </c>
      <c r="C44" s="56">
        <v>56087.885600000001</v>
      </c>
      <c r="D44" s="56">
        <v>5.0000000000000001E-4</v>
      </c>
      <c r="E44">
        <f>+(C44-C$7)/C$8</f>
        <v>10087.026674602568</v>
      </c>
      <c r="F44">
        <f>ROUND(2*E44,0)/2</f>
        <v>10087</v>
      </c>
      <c r="G44">
        <f>+C44-(C$7+F44*C$8)</f>
        <v>9.4877000010455959E-3</v>
      </c>
      <c r="K44">
        <f>+G44</f>
        <v>9.4877000010455959E-3</v>
      </c>
      <c r="O44">
        <f ca="1">+C$11+C$12*$F44</f>
        <v>9.794192918420673E-3</v>
      </c>
      <c r="P44" s="65">
        <f>+D$11+D$12*F44+D$13*F44^2</f>
        <v>1.0220242562629775E-2</v>
      </c>
      <c r="Q44" s="2">
        <f>+C44-15018.5</f>
        <v>41069.385600000001</v>
      </c>
      <c r="R44" s="67">
        <f>+(P44-G44)^2</f>
        <v>5.3661860453231131E-7</v>
      </c>
      <c r="S44" s="68">
        <v>1</v>
      </c>
      <c r="T44" s="67">
        <f>+S44*R44</f>
        <v>5.3661860453231131E-7</v>
      </c>
    </row>
    <row r="45" spans="1:20" x14ac:dyDescent="0.2">
      <c r="A45" s="53" t="s">
        <v>118</v>
      </c>
      <c r="B45" s="54" t="s">
        <v>38</v>
      </c>
      <c r="C45" s="55">
        <v>57099.633379999999</v>
      </c>
      <c r="D45" s="55">
        <v>1E-4</v>
      </c>
      <c r="E45">
        <f>+(C45-C$7)/C$8</f>
        <v>12931.548522574451</v>
      </c>
      <c r="F45">
        <f>ROUND(2*E45,0)/2</f>
        <v>12931.5</v>
      </c>
      <c r="G45">
        <f>+C45-(C$7+F45*C$8)</f>
        <v>1.7258649997529574E-2</v>
      </c>
      <c r="K45">
        <f>+G45</f>
        <v>1.7258649997529574E-2</v>
      </c>
      <c r="O45">
        <f ca="1">+C$11+C$12*$F45</f>
        <v>1.866473068475092E-2</v>
      </c>
      <c r="P45" s="65">
        <f>+D$11+D$12*F45+D$13*F45^2</f>
        <v>1.7924001918001951E-2</v>
      </c>
      <c r="Q45" s="2">
        <f>+C45-15018.5</f>
        <v>42081.133379999999</v>
      </c>
      <c r="R45" s="67">
        <f>+(P45-G45)^2</f>
        <v>4.4269317807628018E-7</v>
      </c>
      <c r="S45" s="68">
        <v>1</v>
      </c>
      <c r="T45" s="67">
        <f>+S45*R45</f>
        <v>4.4269317807628018E-7</v>
      </c>
    </row>
    <row r="46" spans="1:20" ht="12" customHeight="1" x14ac:dyDescent="0.2">
      <c r="A46" s="51" t="s">
        <v>117</v>
      </c>
      <c r="B46" s="52"/>
      <c r="C46" s="51">
        <v>57143.561199999996</v>
      </c>
      <c r="D46" s="51">
        <v>5.0000000000000001E-4</v>
      </c>
      <c r="E46">
        <f>+(C46-C$7)/C$8</f>
        <v>13055.051283038889</v>
      </c>
      <c r="F46">
        <f>ROUND(2*E46,0)/2</f>
        <v>13055</v>
      </c>
      <c r="G46">
        <f>+C46-(C$7+F46*C$8)</f>
        <v>1.8240499994135462E-2</v>
      </c>
      <c r="J46">
        <f>+G46</f>
        <v>1.8240499994135462E-2</v>
      </c>
      <c r="O46">
        <f ca="1">+C$11+C$12*$F46</f>
        <v>1.9049863894152148E-2</v>
      </c>
      <c r="P46" s="65">
        <f>+D$11+D$12*F46+D$13*F46^2</f>
        <v>1.8305435729185422E-2</v>
      </c>
      <c r="Q46" s="2">
        <f>+C46-15018.5</f>
        <v>42125.061199999996</v>
      </c>
      <c r="R46" s="67">
        <f>+(P46-G46)^2</f>
        <v>4.2166496864786656E-9</v>
      </c>
      <c r="S46" s="68">
        <v>1</v>
      </c>
      <c r="T46" s="67">
        <f>+S46*R46</f>
        <v>4.2166496864786656E-9</v>
      </c>
    </row>
    <row r="47" spans="1:20" ht="12" customHeight="1" x14ac:dyDescent="0.2">
      <c r="A47" s="5" t="s">
        <v>119</v>
      </c>
      <c r="C47" s="10">
        <v>58253.837500000001</v>
      </c>
      <c r="D47" s="10">
        <v>2.0000000000000001E-4</v>
      </c>
      <c r="E47">
        <f>+(C47-C$7)/C$8</f>
        <v>16176.585379842545</v>
      </c>
      <c r="F47">
        <f>ROUND(2*E47,0)/2</f>
        <v>16176.5</v>
      </c>
      <c r="G47">
        <f>+C47-(C$7+F47*C$8)</f>
        <v>3.03681500008679E-2</v>
      </c>
      <c r="K47">
        <f>+G47</f>
        <v>3.03681500008679E-2</v>
      </c>
      <c r="O47">
        <f ca="1">+C$11+C$12*$F47</f>
        <v>2.8784222705050329E-2</v>
      </c>
      <c r="P47" s="65">
        <f>+D$11+D$12*F47+D$13*F47^2</f>
        <v>2.924395978450553E-2</v>
      </c>
      <c r="Q47" s="2">
        <f>+C47-15018.5</f>
        <v>43235.337500000001</v>
      </c>
      <c r="R47" s="67">
        <f>+(P47-G47)^2</f>
        <v>1.2638036425648714E-6</v>
      </c>
      <c r="S47" s="68">
        <v>1</v>
      </c>
      <c r="T47" s="67">
        <f>+S47*R47</f>
        <v>1.2638036425648714E-6</v>
      </c>
    </row>
    <row r="48" spans="1:20" ht="12" customHeight="1" x14ac:dyDescent="0.2">
      <c r="A48" s="74" t="s">
        <v>126</v>
      </c>
      <c r="B48" s="75" t="s">
        <v>32</v>
      </c>
      <c r="C48" s="76">
        <v>58339.381500000003</v>
      </c>
      <c r="D48" s="76">
        <v>1.6000000000000001E-4</v>
      </c>
      <c r="E48">
        <f>+(C48-C$7)/C$8</f>
        <v>16417.091740986143</v>
      </c>
      <c r="F48">
        <f>ROUND(2*E48,0)/2</f>
        <v>16417</v>
      </c>
      <c r="G48">
        <f>+C48-(C$7+F48*C$8)</f>
        <v>3.2630699999572244E-2</v>
      </c>
      <c r="K48">
        <f>+G48</f>
        <v>3.2630699999572244E-2</v>
      </c>
      <c r="O48">
        <f ca="1">+C$11+C$12*$F48</f>
        <v>2.9534218954936922E-2</v>
      </c>
      <c r="P48" s="65">
        <f>+D$11+D$12*F48+D$13*F48^2</f>
        <v>3.0190317905374707E-2</v>
      </c>
      <c r="Q48" s="2">
        <f>+C48-15018.5</f>
        <v>43320.881500000003</v>
      </c>
      <c r="R48" s="67">
        <f>+(P48-G48)^2</f>
        <v>5.955464765679954E-6</v>
      </c>
      <c r="S48" s="68">
        <v>1</v>
      </c>
      <c r="T48" s="67">
        <f>+S48*R48</f>
        <v>5.955464765679954E-6</v>
      </c>
    </row>
    <row r="49" spans="1:20" ht="12" customHeight="1" x14ac:dyDescent="0.2">
      <c r="A49" s="77" t="s">
        <v>127</v>
      </c>
      <c r="B49" s="78" t="s">
        <v>38</v>
      </c>
      <c r="C49" s="79">
        <v>59647.596100000002</v>
      </c>
      <c r="D49" s="77">
        <v>2.9999999999999997E-4</v>
      </c>
      <c r="E49">
        <f>+(C49-C$7)/C$8</f>
        <v>20095.127991815178</v>
      </c>
      <c r="F49">
        <f>ROUND(2*E49,0)/2</f>
        <v>20095</v>
      </c>
      <c r="G49">
        <f>+C49-(C$7+F49*C$8)</f>
        <v>4.5524499997554813E-2</v>
      </c>
      <c r="K49">
        <f>+G49</f>
        <v>4.5524499997554813E-2</v>
      </c>
      <c r="O49">
        <f ca="1">+C$11+C$12*$F49</f>
        <v>4.100401607378476E-2</v>
      </c>
      <c r="P49" s="65">
        <f>+D$11+D$12*F49+D$13*F49^2</f>
        <v>4.6509468584480351E-2</v>
      </c>
      <c r="Q49" s="2">
        <f>+C49-15018.5</f>
        <v>44629.096100000002</v>
      </c>
      <c r="R49" s="67">
        <f>+(P49-G49)^2</f>
        <v>9.7016311723009245E-7</v>
      </c>
      <c r="S49" s="68">
        <v>1</v>
      </c>
      <c r="T49" s="67">
        <f>+S49*R49</f>
        <v>9.7016311723009245E-7</v>
      </c>
    </row>
    <row r="50" spans="1:20" ht="12" customHeight="1" x14ac:dyDescent="0.2">
      <c r="A50" s="77" t="s">
        <v>128</v>
      </c>
      <c r="B50" s="78" t="s">
        <v>32</v>
      </c>
      <c r="C50" s="79">
        <v>59713.7425</v>
      </c>
      <c r="D50" s="77">
        <v>5.9999999999999995E-4</v>
      </c>
      <c r="E50">
        <f>+(C50-C$7)/C$8</f>
        <v>20281.098135445918</v>
      </c>
      <c r="F50">
        <f>ROUND(2*E50,0)/2</f>
        <v>20281</v>
      </c>
      <c r="G50">
        <f>+C50-(C$7+F50*C$8)</f>
        <v>3.4905099993920885E-2</v>
      </c>
      <c r="K50">
        <f>+G50</f>
        <v>3.4905099993920885E-2</v>
      </c>
      <c r="O50">
        <f ca="1">+C$11+C$12*$F50</f>
        <v>4.1584054753530733E-2</v>
      </c>
      <c r="P50" s="65">
        <f>+D$11+D$12*F50+D$13*F50^2</f>
        <v>4.7426817492304582E-2</v>
      </c>
      <c r="Q50" s="2">
        <f>+C50-15018.5</f>
        <v>44695.2425</v>
      </c>
      <c r="R50" s="67">
        <f>+(P50-G50)^2</f>
        <v>1.5679340910932846E-4</v>
      </c>
      <c r="S50" s="68">
        <v>1</v>
      </c>
      <c r="T50" s="67">
        <f>+S50*R50</f>
        <v>1.5679340910932846E-4</v>
      </c>
    </row>
    <row r="51" spans="1:20" ht="12" customHeight="1" x14ac:dyDescent="0.2">
      <c r="C51" s="10"/>
      <c r="D51" s="10"/>
    </row>
    <row r="52" spans="1:20" ht="12" customHeight="1" x14ac:dyDescent="0.2">
      <c r="C52" s="10"/>
      <c r="D52" s="10"/>
    </row>
    <row r="53" spans="1:20" ht="12" customHeight="1" x14ac:dyDescent="0.2">
      <c r="C53" s="10"/>
      <c r="D53" s="10"/>
    </row>
    <row r="54" spans="1:20" x14ac:dyDescent="0.2">
      <c r="C54" s="10"/>
      <c r="D54" s="10"/>
    </row>
    <row r="55" spans="1:20" x14ac:dyDescent="0.2">
      <c r="C55" s="10"/>
      <c r="D55" s="10"/>
    </row>
    <row r="56" spans="1:20" x14ac:dyDescent="0.2">
      <c r="C56" s="10"/>
      <c r="D56" s="10"/>
    </row>
    <row r="57" spans="1:20" x14ac:dyDescent="0.2">
      <c r="C57" s="10"/>
      <c r="D57" s="10"/>
    </row>
    <row r="58" spans="1:20" x14ac:dyDescent="0.2">
      <c r="C58" s="10"/>
      <c r="D58" s="10"/>
    </row>
    <row r="59" spans="1:20" x14ac:dyDescent="0.2">
      <c r="C59" s="10"/>
      <c r="D59" s="10"/>
    </row>
    <row r="60" spans="1:20" x14ac:dyDescent="0.2">
      <c r="C60" s="10"/>
      <c r="D60" s="10"/>
    </row>
    <row r="61" spans="1:20" x14ac:dyDescent="0.2">
      <c r="C61" s="10"/>
      <c r="D61" s="10"/>
    </row>
    <row r="62" spans="1:20" x14ac:dyDescent="0.2">
      <c r="C62" s="10"/>
      <c r="D62" s="10"/>
    </row>
    <row r="63" spans="1:20" x14ac:dyDescent="0.2">
      <c r="C63" s="10"/>
      <c r="D63" s="10"/>
    </row>
    <row r="64" spans="1:20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sortState xmlns:xlrd2="http://schemas.microsoft.com/office/spreadsheetml/2017/richdata2" ref="A21:U50">
    <sortCondition ref="C21:C50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2"/>
  <sheetViews>
    <sheetView workbookViewId="0">
      <selection activeCell="A20" sqref="A20:C20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51</v>
      </c>
      <c r="I1" s="39" t="s">
        <v>52</v>
      </c>
      <c r="J1" s="40" t="s">
        <v>53</v>
      </c>
    </row>
    <row r="2" spans="1:16" x14ac:dyDescent="0.2">
      <c r="I2" s="41" t="s">
        <v>54</v>
      </c>
      <c r="J2" s="42" t="s">
        <v>55</v>
      </c>
    </row>
    <row r="3" spans="1:16" x14ac:dyDescent="0.2">
      <c r="A3" s="43" t="s">
        <v>56</v>
      </c>
      <c r="I3" s="41" t="s">
        <v>57</v>
      </c>
      <c r="J3" s="42" t="s">
        <v>58</v>
      </c>
    </row>
    <row r="4" spans="1:16" x14ac:dyDescent="0.2">
      <c r="I4" s="41" t="s">
        <v>59</v>
      </c>
      <c r="J4" s="42" t="s">
        <v>58</v>
      </c>
    </row>
    <row r="5" spans="1:16" ht="13.5" thickBot="1" x14ac:dyDescent="0.25">
      <c r="I5" s="44" t="s">
        <v>60</v>
      </c>
      <c r="J5" s="45" t="s">
        <v>61</v>
      </c>
    </row>
    <row r="10" spans="1:16" ht="13.5" thickBot="1" x14ac:dyDescent="0.25"/>
    <row r="11" spans="1:16" ht="12.75" customHeight="1" thickBot="1" x14ac:dyDescent="0.25">
      <c r="A11" s="10" t="str">
        <f t="shared" ref="A11:A20" si="0">P11</f>
        <v>IBVS 5781 </v>
      </c>
      <c r="B11" s="3" t="str">
        <f t="shared" ref="B11:B20" si="1">IF(H11=INT(H11),"I","II")</f>
        <v>II</v>
      </c>
      <c r="C11" s="10">
        <f t="shared" ref="C11:C20" si="2">1*G11</f>
        <v>54017.270499999999</v>
      </c>
      <c r="D11" s="12" t="str">
        <f t="shared" ref="D11:D20" si="3">VLOOKUP(F11,I$1:J$5,2,FALSE)</f>
        <v>vis</v>
      </c>
      <c r="E11" s="46">
        <f>VLOOKUP(C11,Active!C$21:E$972,3,FALSE)</f>
        <v>4265.5067196089421</v>
      </c>
      <c r="F11" s="3" t="s">
        <v>60</v>
      </c>
      <c r="G11" s="12" t="str">
        <f t="shared" ref="G11:G20" si="4">MID(I11,3,LEN(I11)-3)</f>
        <v>54017.2705</v>
      </c>
      <c r="H11" s="10">
        <f t="shared" ref="H11:H20" si="5">1*K11</f>
        <v>5290.5</v>
      </c>
      <c r="I11" s="47" t="s">
        <v>62</v>
      </c>
      <c r="J11" s="48" t="s">
        <v>63</v>
      </c>
      <c r="K11" s="47">
        <v>5290.5</v>
      </c>
      <c r="L11" s="47" t="s">
        <v>64</v>
      </c>
      <c r="M11" s="48" t="s">
        <v>65</v>
      </c>
      <c r="N11" s="48" t="s">
        <v>66</v>
      </c>
      <c r="O11" s="49" t="s">
        <v>67</v>
      </c>
      <c r="P11" s="50" t="s">
        <v>68</v>
      </c>
    </row>
    <row r="12" spans="1:16" ht="12.75" customHeight="1" thickBot="1" x14ac:dyDescent="0.25">
      <c r="A12" s="10" t="str">
        <f t="shared" si="0"/>
        <v>IBVS 5837 </v>
      </c>
      <c r="B12" s="3" t="str">
        <f t="shared" si="1"/>
        <v>I</v>
      </c>
      <c r="C12" s="10">
        <f t="shared" si="2"/>
        <v>54387.360000000001</v>
      </c>
      <c r="D12" s="12" t="str">
        <f t="shared" si="3"/>
        <v>vis</v>
      </c>
      <c r="E12" s="46">
        <f>VLOOKUP(C12,Active!C$21:E$972,3,FALSE)</f>
        <v>5306.0107753282418</v>
      </c>
      <c r="F12" s="3" t="s">
        <v>60</v>
      </c>
      <c r="G12" s="12" t="str">
        <f t="shared" si="4"/>
        <v>54387.3600</v>
      </c>
      <c r="H12" s="10">
        <f t="shared" si="5"/>
        <v>6331</v>
      </c>
      <c r="I12" s="47" t="s">
        <v>69</v>
      </c>
      <c r="J12" s="48" t="s">
        <v>70</v>
      </c>
      <c r="K12" s="47">
        <v>6331</v>
      </c>
      <c r="L12" s="47" t="s">
        <v>71</v>
      </c>
      <c r="M12" s="48" t="s">
        <v>65</v>
      </c>
      <c r="N12" s="48" t="s">
        <v>52</v>
      </c>
      <c r="O12" s="49" t="s">
        <v>67</v>
      </c>
      <c r="P12" s="50" t="s">
        <v>72</v>
      </c>
    </row>
    <row r="13" spans="1:16" ht="12.75" customHeight="1" thickBot="1" x14ac:dyDescent="0.25">
      <c r="A13" s="10" t="str">
        <f t="shared" si="0"/>
        <v>BAVM 209 </v>
      </c>
      <c r="B13" s="3" t="str">
        <f t="shared" si="1"/>
        <v>I</v>
      </c>
      <c r="C13" s="10">
        <f t="shared" si="2"/>
        <v>54596.500099999997</v>
      </c>
      <c r="D13" s="12" t="str">
        <f t="shared" si="3"/>
        <v>vis</v>
      </c>
      <c r="E13" s="46">
        <f>VLOOKUP(C13,Active!C$21:E$972,3,FALSE)</f>
        <v>5894.0067121584825</v>
      </c>
      <c r="F13" s="3" t="s">
        <v>60</v>
      </c>
      <c r="G13" s="12" t="str">
        <f t="shared" si="4"/>
        <v>54596.5001</v>
      </c>
      <c r="H13" s="10">
        <f t="shared" si="5"/>
        <v>6919</v>
      </c>
      <c r="I13" s="47" t="s">
        <v>73</v>
      </c>
      <c r="J13" s="48" t="s">
        <v>74</v>
      </c>
      <c r="K13" s="47">
        <v>6919</v>
      </c>
      <c r="L13" s="47" t="s">
        <v>75</v>
      </c>
      <c r="M13" s="48" t="s">
        <v>65</v>
      </c>
      <c r="N13" s="48" t="s">
        <v>76</v>
      </c>
      <c r="O13" s="49" t="s">
        <v>77</v>
      </c>
      <c r="P13" s="50" t="s">
        <v>78</v>
      </c>
    </row>
    <row r="14" spans="1:16" ht="12.75" customHeight="1" thickBot="1" x14ac:dyDescent="0.25">
      <c r="A14" s="10" t="str">
        <f t="shared" si="0"/>
        <v>IBVS 5920 </v>
      </c>
      <c r="B14" s="3" t="str">
        <f t="shared" si="1"/>
        <v>II</v>
      </c>
      <c r="C14" s="10">
        <f t="shared" si="2"/>
        <v>55049.821499999998</v>
      </c>
      <c r="D14" s="12" t="str">
        <f t="shared" si="3"/>
        <v>vis</v>
      </c>
      <c r="E14" s="46">
        <f>VLOOKUP(C14,Active!C$21:E$972,3,FALSE)</f>
        <v>7168.5166759492649</v>
      </c>
      <c r="F14" s="3" t="s">
        <v>60</v>
      </c>
      <c r="G14" s="12" t="str">
        <f t="shared" si="4"/>
        <v>55049.8215</v>
      </c>
      <c r="H14" s="10">
        <f t="shared" si="5"/>
        <v>8193.5</v>
      </c>
      <c r="I14" s="47" t="s">
        <v>79</v>
      </c>
      <c r="J14" s="48" t="s">
        <v>80</v>
      </c>
      <c r="K14" s="47" t="s">
        <v>81</v>
      </c>
      <c r="L14" s="47" t="s">
        <v>82</v>
      </c>
      <c r="M14" s="48" t="s">
        <v>65</v>
      </c>
      <c r="N14" s="48" t="s">
        <v>52</v>
      </c>
      <c r="O14" s="49" t="s">
        <v>67</v>
      </c>
      <c r="P14" s="50" t="s">
        <v>83</v>
      </c>
    </row>
    <row r="15" spans="1:16" ht="12.75" customHeight="1" thickBot="1" x14ac:dyDescent="0.25">
      <c r="A15" s="10" t="str">
        <f t="shared" si="0"/>
        <v>IBVS 5929 </v>
      </c>
      <c r="B15" s="3" t="str">
        <f t="shared" si="1"/>
        <v>I</v>
      </c>
      <c r="C15" s="10">
        <f t="shared" si="2"/>
        <v>55104.419500000004</v>
      </c>
      <c r="D15" s="12" t="str">
        <f t="shared" si="3"/>
        <v>vis</v>
      </c>
      <c r="E15" s="46">
        <f>VLOOKUP(C15,Active!C$21:E$972,3,FALSE)</f>
        <v>7322.0185732853624</v>
      </c>
      <c r="F15" s="3" t="s">
        <v>60</v>
      </c>
      <c r="G15" s="12" t="str">
        <f t="shared" si="4"/>
        <v>55104.4195</v>
      </c>
      <c r="H15" s="10">
        <f t="shared" si="5"/>
        <v>8347</v>
      </c>
      <c r="I15" s="47" t="s">
        <v>84</v>
      </c>
      <c r="J15" s="48" t="s">
        <v>85</v>
      </c>
      <c r="K15" s="47" t="s">
        <v>86</v>
      </c>
      <c r="L15" s="47" t="s">
        <v>87</v>
      </c>
      <c r="M15" s="48" t="s">
        <v>65</v>
      </c>
      <c r="N15" s="48" t="s">
        <v>66</v>
      </c>
      <c r="O15" s="49" t="s">
        <v>88</v>
      </c>
      <c r="P15" s="50" t="s">
        <v>89</v>
      </c>
    </row>
    <row r="16" spans="1:16" ht="12.75" customHeight="1" thickBot="1" x14ac:dyDescent="0.25">
      <c r="A16" s="10" t="str">
        <f t="shared" si="0"/>
        <v>IBVS 5945 </v>
      </c>
      <c r="B16" s="3" t="str">
        <f t="shared" si="1"/>
        <v>I</v>
      </c>
      <c r="C16" s="10">
        <f t="shared" si="2"/>
        <v>55338.812400000003</v>
      </c>
      <c r="D16" s="12" t="str">
        <f t="shared" si="3"/>
        <v>vis</v>
      </c>
      <c r="E16" s="46">
        <f>VLOOKUP(C16,Active!C$21:E$972,3,FALSE)</f>
        <v>7981.012581712529</v>
      </c>
      <c r="F16" s="3" t="s">
        <v>60</v>
      </c>
      <c r="G16" s="12" t="str">
        <f t="shared" si="4"/>
        <v>55338.8124</v>
      </c>
      <c r="H16" s="10">
        <f t="shared" si="5"/>
        <v>9006</v>
      </c>
      <c r="I16" s="47" t="s">
        <v>90</v>
      </c>
      <c r="J16" s="48" t="s">
        <v>91</v>
      </c>
      <c r="K16" s="47" t="s">
        <v>92</v>
      </c>
      <c r="L16" s="47" t="s">
        <v>93</v>
      </c>
      <c r="M16" s="48" t="s">
        <v>65</v>
      </c>
      <c r="N16" s="48" t="s">
        <v>60</v>
      </c>
      <c r="O16" s="49" t="s">
        <v>94</v>
      </c>
      <c r="P16" s="50" t="s">
        <v>95</v>
      </c>
    </row>
    <row r="17" spans="1:16" ht="12.75" customHeight="1" thickBot="1" x14ac:dyDescent="0.25">
      <c r="A17" s="10" t="str">
        <f t="shared" si="0"/>
        <v>BAVM 220 </v>
      </c>
      <c r="B17" s="3" t="str">
        <f t="shared" si="1"/>
        <v>I</v>
      </c>
      <c r="C17" s="10">
        <f t="shared" si="2"/>
        <v>55673.511200000001</v>
      </c>
      <c r="D17" s="12" t="str">
        <f t="shared" si="3"/>
        <v>vis</v>
      </c>
      <c r="E17" s="46">
        <f>VLOOKUP(C17,Active!C$21:E$972,3,FALSE)</f>
        <v>8922.0159304818917</v>
      </c>
      <c r="F17" s="3" t="s">
        <v>60</v>
      </c>
      <c r="G17" s="12" t="str">
        <f t="shared" si="4"/>
        <v>55673.5112</v>
      </c>
      <c r="H17" s="10">
        <f t="shared" si="5"/>
        <v>9947</v>
      </c>
      <c r="I17" s="47" t="s">
        <v>96</v>
      </c>
      <c r="J17" s="48" t="s">
        <v>97</v>
      </c>
      <c r="K17" s="47" t="s">
        <v>98</v>
      </c>
      <c r="L17" s="47" t="s">
        <v>99</v>
      </c>
      <c r="M17" s="48" t="s">
        <v>65</v>
      </c>
      <c r="N17" s="48" t="s">
        <v>76</v>
      </c>
      <c r="O17" s="49" t="s">
        <v>100</v>
      </c>
      <c r="P17" s="50" t="s">
        <v>101</v>
      </c>
    </row>
    <row r="18" spans="1:16" ht="12.75" customHeight="1" thickBot="1" x14ac:dyDescent="0.25">
      <c r="A18" s="10" t="str">
        <f t="shared" si="0"/>
        <v>BAVM 220 </v>
      </c>
      <c r="B18" s="3" t="str">
        <f t="shared" si="1"/>
        <v>I</v>
      </c>
      <c r="C18" s="10">
        <f t="shared" si="2"/>
        <v>55705.524100000002</v>
      </c>
      <c r="D18" s="12" t="str">
        <f t="shared" si="3"/>
        <v>vis</v>
      </c>
      <c r="E18" s="46">
        <f>VLOOKUP(C18,Active!C$21:E$972,3,FALSE)</f>
        <v>9012.0199762203883</v>
      </c>
      <c r="F18" s="3" t="s">
        <v>60</v>
      </c>
      <c r="G18" s="12" t="str">
        <f t="shared" si="4"/>
        <v>55705.5241</v>
      </c>
      <c r="H18" s="10">
        <f t="shared" si="5"/>
        <v>10037</v>
      </c>
      <c r="I18" s="47" t="s">
        <v>102</v>
      </c>
      <c r="J18" s="48" t="s">
        <v>103</v>
      </c>
      <c r="K18" s="47" t="s">
        <v>104</v>
      </c>
      <c r="L18" s="47" t="s">
        <v>105</v>
      </c>
      <c r="M18" s="48" t="s">
        <v>65</v>
      </c>
      <c r="N18" s="48" t="s">
        <v>76</v>
      </c>
      <c r="O18" s="49" t="s">
        <v>100</v>
      </c>
      <c r="P18" s="50" t="s">
        <v>101</v>
      </c>
    </row>
    <row r="19" spans="1:16" ht="12.75" customHeight="1" thickBot="1" x14ac:dyDescent="0.25">
      <c r="A19" s="10" t="str">
        <f t="shared" si="0"/>
        <v>IBVS 6029 </v>
      </c>
      <c r="B19" s="3" t="str">
        <f t="shared" si="1"/>
        <v>I</v>
      </c>
      <c r="C19" s="10">
        <f t="shared" si="2"/>
        <v>56087.885600000001</v>
      </c>
      <c r="D19" s="12" t="str">
        <f t="shared" si="3"/>
        <v>vis</v>
      </c>
      <c r="E19" s="46">
        <f>VLOOKUP(C19,Active!C$21:E$972,3,FALSE)</f>
        <v>10087.026674602568</v>
      </c>
      <c r="F19" s="3" t="s">
        <v>60</v>
      </c>
      <c r="G19" s="12" t="str">
        <f t="shared" si="4"/>
        <v>56087.8856</v>
      </c>
      <c r="H19" s="10">
        <f t="shared" si="5"/>
        <v>11112</v>
      </c>
      <c r="I19" s="47" t="s">
        <v>106</v>
      </c>
      <c r="J19" s="48" t="s">
        <v>107</v>
      </c>
      <c r="K19" s="47" t="s">
        <v>108</v>
      </c>
      <c r="L19" s="47" t="s">
        <v>109</v>
      </c>
      <c r="M19" s="48" t="s">
        <v>65</v>
      </c>
      <c r="N19" s="48" t="s">
        <v>60</v>
      </c>
      <c r="O19" s="49" t="s">
        <v>94</v>
      </c>
      <c r="P19" s="50" t="s">
        <v>110</v>
      </c>
    </row>
    <row r="20" spans="1:16" ht="12.75" customHeight="1" thickBot="1" x14ac:dyDescent="0.25">
      <c r="A20" s="10" t="str">
        <f t="shared" si="0"/>
        <v>BAVM 241 (=IBVS 6157) </v>
      </c>
      <c r="B20" s="3" t="str">
        <f t="shared" si="1"/>
        <v>I</v>
      </c>
      <c r="C20" s="10">
        <f t="shared" si="2"/>
        <v>57143.561199999996</v>
      </c>
      <c r="D20" s="12" t="str">
        <f t="shared" si="3"/>
        <v>vis</v>
      </c>
      <c r="E20" s="46">
        <f>VLOOKUP(C20,Active!C$21:E$972,3,FALSE)</f>
        <v>13055.051283038889</v>
      </c>
      <c r="F20" s="3" t="s">
        <v>60</v>
      </c>
      <c r="G20" s="12" t="str">
        <f t="shared" si="4"/>
        <v>57143.5612</v>
      </c>
      <c r="H20" s="10">
        <f t="shared" si="5"/>
        <v>14080</v>
      </c>
      <c r="I20" s="47" t="s">
        <v>111</v>
      </c>
      <c r="J20" s="48" t="s">
        <v>112</v>
      </c>
      <c r="K20" s="47" t="s">
        <v>113</v>
      </c>
      <c r="L20" s="47" t="s">
        <v>114</v>
      </c>
      <c r="M20" s="48" t="s">
        <v>65</v>
      </c>
      <c r="N20" s="48" t="s">
        <v>60</v>
      </c>
      <c r="O20" s="49" t="s">
        <v>115</v>
      </c>
      <c r="P20" s="50" t="s">
        <v>116</v>
      </c>
    </row>
    <row r="21" spans="1:16" x14ac:dyDescent="0.2">
      <c r="B21" s="3"/>
      <c r="E21" s="46"/>
      <c r="F21" s="3"/>
    </row>
    <row r="22" spans="1:16" x14ac:dyDescent="0.2">
      <c r="B22" s="3"/>
      <c r="E22" s="46"/>
      <c r="F22" s="3"/>
    </row>
    <row r="23" spans="1:16" x14ac:dyDescent="0.2">
      <c r="B23" s="3"/>
      <c r="E23" s="46"/>
      <c r="F23" s="3"/>
    </row>
    <row r="24" spans="1:16" x14ac:dyDescent="0.2">
      <c r="B24" s="3"/>
      <c r="E24" s="46"/>
      <c r="F24" s="3"/>
    </row>
    <row r="25" spans="1:16" x14ac:dyDescent="0.2">
      <c r="B25" s="3"/>
      <c r="E25" s="46"/>
      <c r="F25" s="3"/>
    </row>
    <row r="26" spans="1:16" x14ac:dyDescent="0.2">
      <c r="B26" s="3"/>
      <c r="E26" s="46"/>
      <c r="F26" s="3"/>
    </row>
    <row r="27" spans="1:16" x14ac:dyDescent="0.2">
      <c r="B27" s="3"/>
      <c r="E27" s="46"/>
      <c r="F27" s="3"/>
    </row>
    <row r="28" spans="1:16" x14ac:dyDescent="0.2">
      <c r="B28" s="3"/>
      <c r="E28" s="46"/>
      <c r="F28" s="3"/>
    </row>
    <row r="29" spans="1:16" x14ac:dyDescent="0.2">
      <c r="B29" s="3"/>
      <c r="E29" s="46"/>
      <c r="F29" s="3"/>
    </row>
    <row r="30" spans="1:16" x14ac:dyDescent="0.2">
      <c r="B30" s="3"/>
      <c r="E30" s="46"/>
      <c r="F30" s="3"/>
    </row>
    <row r="31" spans="1:16" x14ac:dyDescent="0.2">
      <c r="B31" s="3"/>
      <c r="E31" s="46"/>
      <c r="F31" s="3"/>
    </row>
    <row r="32" spans="1:16" x14ac:dyDescent="0.2">
      <c r="B32" s="3"/>
      <c r="E32" s="46"/>
      <c r="F32" s="3"/>
    </row>
    <row r="33" spans="2:6" x14ac:dyDescent="0.2">
      <c r="B33" s="3"/>
      <c r="E33" s="46"/>
      <c r="F33" s="3"/>
    </row>
    <row r="34" spans="2:6" x14ac:dyDescent="0.2">
      <c r="B34" s="3"/>
      <c r="E34" s="46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</sheetData>
  <phoneticPr fontId="8" type="noConversion"/>
  <hyperlinks>
    <hyperlink ref="P11" r:id="rId1" display="http://www.konkoly.hu/cgi-bin/IBVS?5781"/>
    <hyperlink ref="P12" r:id="rId2" display="http://www.konkoly.hu/cgi-bin/IBVS?5837"/>
    <hyperlink ref="P13" r:id="rId3" display="http://www.bav-astro.de/sfs/BAVM_link.php?BAVMnr=209"/>
    <hyperlink ref="P14" r:id="rId4" display="http://www.konkoly.hu/cgi-bin/IBVS?5920"/>
    <hyperlink ref="P15" r:id="rId5" display="http://www.konkoly.hu/cgi-bin/IBVS?5929"/>
    <hyperlink ref="P16" r:id="rId6" display="http://www.konkoly.hu/cgi-bin/IBVS?5945"/>
    <hyperlink ref="P17" r:id="rId7" display="http://www.bav-astro.de/sfs/BAVM_link.php?BAVMnr=220"/>
    <hyperlink ref="P18" r:id="rId8" display="http://www.bav-astro.de/sfs/BAVM_link.php?BAVMnr=220"/>
    <hyperlink ref="P19" r:id="rId9" display="http://www.konkoly.hu/cgi-bin/IBVS?6029"/>
    <hyperlink ref="P20" r:id="rId10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2023-01-19T04:22:45Z</dcterms:modified>
</cp:coreProperties>
</file>