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F41DB17-BACE-426A-A954-06127F8C4D65}" xr6:coauthVersionLast="47" xr6:coauthVersionMax="47" xr10:uidLastSave="{00000000-0000-0000-0000-000000000000}"/>
  <bookViews>
    <workbookView xWindow="12720" yWindow="135" windowWidth="12630" windowHeight="14595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74" i="1" l="1"/>
  <c r="F74" i="1" s="1"/>
  <c r="G74" i="1" s="1"/>
  <c r="K74" i="1" s="1"/>
  <c r="Q74" i="1"/>
  <c r="E75" i="1"/>
  <c r="F75" i="1" s="1"/>
  <c r="G75" i="1" s="1"/>
  <c r="K75" i="1" s="1"/>
  <c r="Q75" i="1"/>
  <c r="E76" i="1"/>
  <c r="F76" i="1"/>
  <c r="G76" i="1"/>
  <c r="K76" i="1" s="1"/>
  <c r="Q76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G73" i="1"/>
  <c r="K73" i="1"/>
  <c r="Q73" i="1"/>
  <c r="C7" i="1"/>
  <c r="G69" i="1"/>
  <c r="K69" i="1"/>
  <c r="C8" i="1"/>
  <c r="E69" i="1"/>
  <c r="F69" i="1"/>
  <c r="D9" i="1"/>
  <c r="C9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E29" i="1"/>
  <c r="F29" i="1"/>
  <c r="G29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E38" i="1"/>
  <c r="F38" i="1"/>
  <c r="G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E55" i="1"/>
  <c r="F55" i="1"/>
  <c r="G55" i="1"/>
  <c r="H55" i="1"/>
  <c r="E57" i="1"/>
  <c r="F57" i="1"/>
  <c r="G57" i="1"/>
  <c r="I57" i="1"/>
  <c r="E58" i="1"/>
  <c r="F58" i="1"/>
  <c r="G58" i="1"/>
  <c r="J58" i="1"/>
  <c r="E59" i="1"/>
  <c r="F59" i="1"/>
  <c r="G59" i="1"/>
  <c r="I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K68" i="1"/>
  <c r="E30" i="1"/>
  <c r="F30" i="1"/>
  <c r="E56" i="1"/>
  <c r="F56" i="1"/>
  <c r="U56" i="1"/>
  <c r="Q69" i="1"/>
  <c r="Q68" i="1"/>
  <c r="E21" i="1"/>
  <c r="F21" i="1"/>
  <c r="G21" i="1"/>
  <c r="H21" i="1"/>
  <c r="Q65" i="1"/>
  <c r="Q64" i="1"/>
  <c r="Q63" i="1"/>
  <c r="Q62" i="1"/>
  <c r="Q59" i="1"/>
  <c r="Q58" i="1"/>
  <c r="Q57" i="1"/>
  <c r="Q55" i="1"/>
  <c r="Q54" i="1"/>
  <c r="H54" i="1"/>
  <c r="Q53" i="1"/>
  <c r="Q52" i="1"/>
  <c r="Q51" i="1"/>
  <c r="Q50" i="1"/>
  <c r="Q49" i="1"/>
  <c r="Q48" i="1"/>
  <c r="Q47" i="1"/>
  <c r="Q46" i="1"/>
  <c r="H46" i="1"/>
  <c r="Q45" i="1"/>
  <c r="Q44" i="1"/>
  <c r="Q43" i="1"/>
  <c r="Q42" i="1"/>
  <c r="Q41" i="1"/>
  <c r="Q40" i="1"/>
  <c r="Q39" i="1"/>
  <c r="Q38" i="1"/>
  <c r="H38" i="1"/>
  <c r="Q37" i="1"/>
  <c r="H37" i="1"/>
  <c r="Q36" i="1"/>
  <c r="Q35" i="1"/>
  <c r="Q34" i="1"/>
  <c r="Q33" i="1"/>
  <c r="Q32" i="1"/>
  <c r="Q31" i="1"/>
  <c r="Q29" i="1"/>
  <c r="H29" i="1"/>
  <c r="Q28" i="1"/>
  <c r="H28" i="1"/>
  <c r="Q27" i="1"/>
  <c r="Q26" i="1"/>
  <c r="Q25" i="1"/>
  <c r="Q24" i="1"/>
  <c r="Q23" i="1"/>
  <c r="Q22" i="1"/>
  <c r="Q21" i="1"/>
  <c r="G57" i="3"/>
  <c r="C57" i="3"/>
  <c r="E57" i="3"/>
  <c r="G15" i="3"/>
  <c r="C15" i="3"/>
  <c r="E15" i="3"/>
  <c r="G14" i="3"/>
  <c r="C14" i="3"/>
  <c r="E14" i="3"/>
  <c r="G56" i="3"/>
  <c r="C56" i="3"/>
  <c r="E56" i="3"/>
  <c r="G55" i="3"/>
  <c r="C55" i="3"/>
  <c r="G54" i="3"/>
  <c r="C54" i="3"/>
  <c r="E54" i="3"/>
  <c r="G53" i="3"/>
  <c r="C53" i="3"/>
  <c r="E53" i="3"/>
  <c r="G13" i="3"/>
  <c r="C13" i="3"/>
  <c r="E13" i="3"/>
  <c r="G12" i="3"/>
  <c r="C12" i="3"/>
  <c r="E12" i="3"/>
  <c r="G52" i="3"/>
  <c r="C52" i="3"/>
  <c r="E52" i="3"/>
  <c r="G51" i="3"/>
  <c r="C51" i="3"/>
  <c r="E51" i="3"/>
  <c r="G50" i="3"/>
  <c r="C50" i="3"/>
  <c r="E50" i="3"/>
  <c r="G11" i="3"/>
  <c r="C11" i="3"/>
  <c r="E11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H57" i="3"/>
  <c r="D57" i="3"/>
  <c r="B57" i="3"/>
  <c r="A57" i="3"/>
  <c r="H15" i="3"/>
  <c r="D15" i="3"/>
  <c r="B15" i="3"/>
  <c r="A15" i="3"/>
  <c r="H14" i="3"/>
  <c r="D14" i="3"/>
  <c r="B14" i="3"/>
  <c r="A14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13" i="3"/>
  <c r="D13" i="3"/>
  <c r="B13" i="3"/>
  <c r="A13" i="3"/>
  <c r="H12" i="3"/>
  <c r="D12" i="3"/>
  <c r="B12" i="3"/>
  <c r="A12" i="3"/>
  <c r="H52" i="3"/>
  <c r="D52" i="3"/>
  <c r="B52" i="3"/>
  <c r="A52" i="3"/>
  <c r="H51" i="3"/>
  <c r="D51" i="3"/>
  <c r="B51" i="3"/>
  <c r="A51" i="3"/>
  <c r="H50" i="3"/>
  <c r="D50" i="3"/>
  <c r="B50" i="3"/>
  <c r="A50" i="3"/>
  <c r="H11" i="3"/>
  <c r="D11" i="3"/>
  <c r="B11" i="3"/>
  <c r="A11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Q66" i="1"/>
  <c r="Q67" i="1"/>
  <c r="Q61" i="1"/>
  <c r="F16" i="1"/>
  <c r="F17" i="1" s="1"/>
  <c r="C17" i="1"/>
  <c r="Q60" i="1"/>
  <c r="C7" i="2"/>
  <c r="E21" i="2"/>
  <c r="F21" i="2"/>
  <c r="C8" i="2"/>
  <c r="Q21" i="2"/>
  <c r="Q22" i="2"/>
  <c r="Q56" i="1"/>
  <c r="Q30" i="1"/>
  <c r="E55" i="3"/>
  <c r="E22" i="2"/>
  <c r="F22" i="2"/>
  <c r="G22" i="2"/>
  <c r="I22" i="2"/>
  <c r="G21" i="2"/>
  <c r="C11" i="2"/>
  <c r="H21" i="2"/>
  <c r="C12" i="2"/>
  <c r="C16" i="2"/>
  <c r="D18" i="2"/>
  <c r="O22" i="2"/>
  <c r="O21" i="2"/>
  <c r="C15" i="2"/>
  <c r="C18" i="2"/>
  <c r="C12" i="1"/>
  <c r="C11" i="1"/>
  <c r="O76" i="1" l="1"/>
  <c r="O75" i="1"/>
  <c r="O74" i="1"/>
  <c r="O27" i="1"/>
  <c r="O37" i="1"/>
  <c r="O50" i="1"/>
  <c r="O52" i="1"/>
  <c r="O61" i="1"/>
  <c r="O36" i="1"/>
  <c r="O24" i="1"/>
  <c r="O48" i="1"/>
  <c r="O51" i="1"/>
  <c r="O63" i="1"/>
  <c r="O49" i="1"/>
  <c r="O68" i="1"/>
  <c r="O29" i="1"/>
  <c r="O26" i="1"/>
  <c r="O21" i="1"/>
  <c r="O45" i="1"/>
  <c r="O65" i="1"/>
  <c r="O58" i="1"/>
  <c r="O46" i="1"/>
  <c r="O34" i="1"/>
  <c r="O67" i="1"/>
  <c r="O47" i="1"/>
  <c r="O56" i="1"/>
  <c r="O57" i="1"/>
  <c r="O35" i="1"/>
  <c r="O40" i="1"/>
  <c r="O54" i="1"/>
  <c r="O70" i="1"/>
  <c r="O44" i="1"/>
  <c r="O32" i="1"/>
  <c r="O73" i="1"/>
  <c r="O53" i="1"/>
  <c r="O22" i="1"/>
  <c r="O59" i="1"/>
  <c r="O72" i="1"/>
  <c r="O25" i="1"/>
  <c r="O41" i="1"/>
  <c r="O30" i="1"/>
  <c r="O64" i="1"/>
  <c r="O62" i="1"/>
  <c r="O60" i="1"/>
  <c r="O69" i="1"/>
  <c r="O23" i="1"/>
  <c r="O33" i="1"/>
  <c r="O38" i="1"/>
  <c r="O31" i="1"/>
  <c r="O39" i="1"/>
  <c r="C15" i="1"/>
  <c r="O43" i="1"/>
  <c r="O28" i="1"/>
  <c r="O42" i="1"/>
  <c r="O71" i="1"/>
  <c r="O55" i="1"/>
  <c r="O6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<sst xmlns="http://schemas.openxmlformats.org/spreadsheetml/2006/main" count="550" uniqueCount="241">
  <si>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</si>
  <si>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</si>
  <si>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</si>
  <si>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</si>
  <si>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</si>
  <si>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</si>
  <si>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</si>
  <si>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</si>
  <si>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</si>
  <si>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</si>
  <si>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</si>
  <si>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</si>
  <si>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</si>
  <si>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</si>
  <si>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</si>
  <si>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</si>
  <si>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</si>
  <si>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</si>
  <si>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</si>
  <si>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</si>
  <si>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</si>
  <si>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</si>
  <si>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</si>
  <si>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</si>
  <si>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</si>
  <si>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</si>
  <si>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</si>
  <si>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</si>
  <si>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</si>
  <si>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</si>
  <si>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</si>
  <si>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</si>
  <si>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HI Mon</t>
  </si>
  <si>
    <t>Diethelm R</t>
  </si>
  <si>
    <t>BBSAG Bull.21</t>
  </si>
  <si>
    <t>B</t>
  </si>
  <si>
    <t>BBSAG</t>
  </si>
  <si>
    <t>IBVS 5595</t>
  </si>
  <si>
    <t>I</t>
  </si>
  <si>
    <t># of data points:</t>
  </si>
  <si>
    <t>e</t>
  </si>
  <si>
    <t>HI Mon / GSC 04809-00245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</si>
  <si>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</si>
  <si>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</si>
  <si>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</si>
  <si>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</si>
  <si>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</si>
  <si>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</si>
  <si>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</si>
  <si>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</si>
  <si>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</si>
  <si>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</si>
  <si>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OEJV 0160</t>
  </si>
  <si>
    <t>BAD?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</si>
  <si>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</si>
  <si>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</si>
  <si>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</si>
  <si>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</si>
  <si>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</si>
  <si>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</si>
  <si>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</si>
  <si>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</si>
  <si>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</si>
  <si>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</si>
  <si>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</si>
  <si>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</si>
  <si>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2429634.449 </t>
  </si>
  <si>
    <t> 05.01.1940 22:46 </t>
  </si>
  <si>
    <t> 0.041 </t>
  </si>
  <si>
    <t>P </t>
  </si>
  <si>
    <t> A.A.Wachmann </t>
  </si>
  <si>
    <t> AHSB 7.8.408 </t>
  </si>
  <si>
    <t>2429727.333 </t>
  </si>
  <si>
    <t> 07.04.1940 19:59 </t>
  </si>
  <si>
    <t> 0.034 </t>
  </si>
  <si>
    <t>2429757.22 </t>
  </si>
  <si>
    <t> 07.05.1940 17:16 </t>
  </si>
  <si>
    <t> 0.01 </t>
  </si>
  <si>
    <t> H.G.van Bueren </t>
  </si>
  <si>
    <t> AOLD 20.205 </t>
  </si>
  <si>
    <t>2430000.48 </t>
  </si>
  <si>
    <t> 05.01.1941 23:31 </t>
  </si>
  <si>
    <t> 0.02 </t>
  </si>
  <si>
    <t>2430049.28 </t>
  </si>
  <si>
    <t> 23.02.1941 18:43 </t>
  </si>
  <si>
    <t>2430075.26 </t>
  </si>
  <si>
    <t> 21.03.1941 18:14 </t>
  </si>
  <si>
    <t>2430078.366 </t>
  </si>
  <si>
    <t> 24.03.1941 20:47 </t>
  </si>
  <si>
    <t> -0.032 </t>
  </si>
  <si>
    <t>2430101.24 </t>
  </si>
  <si>
    <t> 16.04.1941 17:45 </t>
  </si>
  <si>
    <t>2430314.48 </t>
  </si>
  <si>
    <t> 15.11.1941 23:31 </t>
  </si>
  <si>
    <t> -0.08 </t>
  </si>
  <si>
    <t>2430352.33 </t>
  </si>
  <si>
    <t> 23.12.1941 19:55 </t>
  </si>
  <si>
    <t> -0.02 </t>
  </si>
  <si>
    <t>2430404.28 </t>
  </si>
  <si>
    <t> 13.02.1942 18:43 </t>
  </si>
  <si>
    <t> -0.03 </t>
  </si>
  <si>
    <t>2430703.461 </t>
  </si>
  <si>
    <t> 09.12.1942 23:03 </t>
  </si>
  <si>
    <t> 0.013 </t>
  </si>
  <si>
    <t>2430703.47 </t>
  </si>
  <si>
    <t> 09.12.1942 23:16 </t>
  </si>
  <si>
    <t>2430763.33 </t>
  </si>
  <si>
    <t> 07.02.1943 19:55 </t>
  </si>
  <si>
    <t> 0.05 </t>
  </si>
  <si>
    <t>2431077.391 </t>
  </si>
  <si>
    <t> 18.12.1943 21:23 </t>
  </si>
  <si>
    <t> 0.016 </t>
  </si>
  <si>
    <t>2431846.485 </t>
  </si>
  <si>
    <t> 25.01.1946 23:38 </t>
  </si>
  <si>
    <t> -0.001 </t>
  </si>
  <si>
    <t>2431876.407 </t>
  </si>
  <si>
    <t> 24.02.1946 21:46 </t>
  </si>
  <si>
    <t> 0.007 </t>
  </si>
  <si>
    <t>2431917.328 </t>
  </si>
  <si>
    <t> 06.04.1946 19:52 </t>
  </si>
  <si>
    <t> -0.007 </t>
  </si>
  <si>
    <t>2432231.423 </t>
  </si>
  <si>
    <t> 14.02.1947 22:09 </t>
  </si>
  <si>
    <t> -0.011 </t>
  </si>
  <si>
    <t>2432257.387 </t>
  </si>
  <si>
    <t> 12.03.1947 21:17 </t>
  </si>
  <si>
    <t> -0.026 </t>
  </si>
  <si>
    <t>2432971.413 </t>
  </si>
  <si>
    <t> 23.02.1949 21:54 </t>
  </si>
  <si>
    <t> -0.005 </t>
  </si>
  <si>
    <t>2433023.349 </t>
  </si>
  <si>
    <t> 16.04.1949 20:22 </t>
  </si>
  <si>
    <t> -0.025 </t>
  </si>
  <si>
    <t>2433685.417 </t>
  </si>
  <si>
    <t> 07.02.1951 22:00 </t>
  </si>
  <si>
    <t> -0.006 </t>
  </si>
  <si>
    <t>2434085.312 </t>
  </si>
  <si>
    <t> 13.03.1952 19:29 </t>
  </si>
  <si>
    <t> -0.017 </t>
  </si>
  <si>
    <t>2434769.400 </t>
  </si>
  <si>
    <t> 26.01.1954 21:36 </t>
  </si>
  <si>
    <t> -0.020 </t>
  </si>
  <si>
    <t>2434773.344 </t>
  </si>
  <si>
    <t> 30.01.1954 20:15 </t>
  </si>
  <si>
    <t> -0.012 </t>
  </si>
  <si>
    <t>2434780.450 </t>
  </si>
  <si>
    <t> 06.02.1954 22:48 </t>
  </si>
  <si>
    <t> 0.009 </t>
  </si>
  <si>
    <t>2435106.394 </t>
  </si>
  <si>
    <t> 29.12.1954 21:27 </t>
  </si>
  <si>
    <t> 0.046 </t>
  </si>
  <si>
    <t>2435161.460 </t>
  </si>
  <si>
    <t> 22.02.1955 23:02 </t>
  </si>
  <si>
    <t> 0.006 </t>
  </si>
  <si>
    <t>2435165.386 </t>
  </si>
  <si>
    <t> 26.02.1955 21:15 </t>
  </si>
  <si>
    <t> -0.004 </t>
  </si>
  <si>
    <t>2435184.305 </t>
  </si>
  <si>
    <t> 17.03.1955 19:19 </t>
  </si>
  <si>
    <t> 0.022 </t>
  </si>
  <si>
    <t>2436608.371 </t>
  </si>
  <si>
    <t> 08.02.1959 20:54 </t>
  </si>
  <si>
    <t> 0.014 </t>
  </si>
  <si>
    <t>2436630.386 </t>
  </si>
  <si>
    <t> 02.03.1959 21:15 </t>
  </si>
  <si>
    <t> -0.013 </t>
  </si>
  <si>
    <t>2437695.500 </t>
  </si>
  <si>
    <t> 31.01.1962 00:00 </t>
  </si>
  <si>
    <t>2442469.316 </t>
  </si>
  <si>
    <t> 25.02.1975 19:35 </t>
  </si>
  <si>
    <t> 0.134 </t>
  </si>
  <si>
    <t>V </t>
  </si>
  <si>
    <t> R.Diethelm </t>
  </si>
  <si>
    <t> BBS 21 </t>
  </si>
  <si>
    <t>2446845.305 </t>
  </si>
  <si>
    <t> 18.02.1987 19:19 </t>
  </si>
  <si>
    <t> J.Isles </t>
  </si>
  <si>
    <t> VSSC 70.21 </t>
  </si>
  <si>
    <t>2447929.3122 </t>
  </si>
  <si>
    <t> 06.02.1990 19:29 </t>
  </si>
  <si>
    <t> -0.0025 </t>
  </si>
  <si>
    <t>E </t>
  </si>
  <si>
    <t>B;V</t>
  </si>
  <si>
    <t> F.Agerer </t>
  </si>
  <si>
    <t>BAVM 56 </t>
  </si>
  <si>
    <t>2447929.313 </t>
  </si>
  <si>
    <t> 06.02.1990 19:30 </t>
  </si>
  <si>
    <t> -0.002 </t>
  </si>
  <si>
    <t> P.Frank </t>
  </si>
  <si>
    <t>BAVM 59 </t>
  </si>
  <si>
    <t>2453081.6396 </t>
  </si>
  <si>
    <t> 17.03.2004 03:21 </t>
  </si>
  <si>
    <t> -0.0058 </t>
  </si>
  <si>
    <t>?</t>
  </si>
  <si>
    <t> Caton &amp; Smith </t>
  </si>
  <si>
    <t>IBVS 5595 </t>
  </si>
  <si>
    <t>2453796.43414 </t>
  </si>
  <si>
    <t> 01.03.2006 22:25 </t>
  </si>
  <si>
    <t> -0.00366 </t>
  </si>
  <si>
    <t>C </t>
  </si>
  <si>
    <t> L.Šmelcer </t>
  </si>
  <si>
    <t>OEJV 0074 </t>
  </si>
  <si>
    <t>2454052.2779 </t>
  </si>
  <si>
    <t> 12.11.2006 18:40 </t>
  </si>
  <si>
    <t> -0.0052 </t>
  </si>
  <si>
    <t> K. Nagai et al. </t>
  </si>
  <si>
    <t>VSB 45 </t>
  </si>
  <si>
    <t>2454856.0266 </t>
  </si>
  <si>
    <t> 24.01.2009 12:38 </t>
  </si>
  <si>
    <t> -0.0043 </t>
  </si>
  <si>
    <t> K.Nakajima </t>
  </si>
  <si>
    <t>VSB 50 </t>
  </si>
  <si>
    <t>2455185.0739 </t>
  </si>
  <si>
    <t> 19.12.2009 13:46 </t>
  </si>
  <si>
    <t> -0.0134 </t>
  </si>
  <si>
    <t>Rc</t>
  </si>
  <si>
    <t> K.Nagai </t>
  </si>
  <si>
    <t>2455570.0287 </t>
  </si>
  <si>
    <t> 08.01.2011 12:41 </t>
  </si>
  <si>
    <t> -0.0074 </t>
  </si>
  <si>
    <t>Ic</t>
  </si>
  <si>
    <t>VSB 53 </t>
  </si>
  <si>
    <t>2455882.55157 </t>
  </si>
  <si>
    <t> 17.11.2011 01:14 </t>
  </si>
  <si>
    <t> -0.00942 </t>
  </si>
  <si>
    <t> M.Mašek </t>
  </si>
  <si>
    <t>OEJV 0160 </t>
  </si>
  <si>
    <t>2455912.46367 </t>
  </si>
  <si>
    <t> 16.12.2011 23:07 </t>
  </si>
  <si>
    <t> -0.01154 </t>
  </si>
  <si>
    <t> M.Audejean </t>
  </si>
  <si>
    <t>2457005.1235 </t>
  </si>
  <si>
    <t> 13.12.2014 14:57 </t>
  </si>
  <si>
    <t> -0.0079 </t>
  </si>
  <si>
    <t>VSB 59 </t>
  </si>
  <si>
    <t>II</t>
  </si>
  <si>
    <t>JAVSO..48..256</t>
  </si>
  <si>
    <t>VSB 067</t>
  </si>
  <si>
    <t>JAVSO, 48, 256</t>
  </si>
  <si>
    <t>VSB, 91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</si>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</sst>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7" fillId="0" borderId="10" xfId="0" applyFont="1" applyFill="1" applyBorder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Mon - O-C Diagr.</a:t>
            </a:r>
          </a:p>
        </c:rich>
      </c:tx>
      <c:layout>
        <c:manualLayout>
          <c:xMode val="edge"/>
          <c:yMode val="edge"/>
          <c:x val="0.390029633392600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723926380368099"/>
          <c:w val="0.8240475108019774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4.109950000201934E-2</c:v>
                </c:pt>
                <c:pt idx="1">
                  <c:v>3.3576099998754216E-2</c:v>
                </c:pt>
                <c:pt idx="2">
                  <c:v>6.3567000033799559E-3</c:v>
                </c:pt>
                <c:pt idx="3">
                  <c:v>1.6520000001037261E-2</c:v>
                </c:pt>
                <c:pt idx="4">
                  <c:v>9.1094000017619692E-3</c:v>
                </c:pt>
                <c:pt idx="5">
                  <c:v>1.0971499999868684E-2</c:v>
                </c:pt>
                <c:pt idx="6">
                  <c:v>-3.189369999745395E-2</c:v>
                </c:pt>
                <c:pt idx="7">
                  <c:v>1.2833600001613377E-2</c:v>
                </c:pt>
                <c:pt idx="8">
                  <c:v>-8.2783699999708915E-2</c:v>
                </c:pt>
                <c:pt idx="9">
                  <c:v>0</c:v>
                </c:pt>
                <c:pt idx="10">
                  <c:v>-1.9166099995345576E-2</c:v>
                </c:pt>
                <c:pt idx="11">
                  <c:v>-2.5441900001169415E-2</c:v>
                </c:pt>
                <c:pt idx="12">
                  <c:v>1.3364099999307655E-2</c:v>
                </c:pt>
                <c:pt idx="13">
                  <c:v>2.2364100001141196E-2</c:v>
                </c:pt>
                <c:pt idx="14">
                  <c:v>5.3925300002447329E-2</c:v>
                </c:pt>
                <c:pt idx="15">
                  <c:v>1.5621599999576574E-2</c:v>
                </c:pt>
                <c:pt idx="16">
                  <c:v>-7.0349999805330299E-4</c:v>
                </c:pt>
                <c:pt idx="17">
                  <c:v>7.0770999991509598E-3</c:v>
                </c:pt>
                <c:pt idx="18">
                  <c:v>-7.1704999973007943E-3</c:v>
                </c:pt>
                <c:pt idx="19">
                  <c:v>-1.1474200000520796E-2</c:v>
                </c:pt>
                <c:pt idx="20">
                  <c:v>-2.5612099998397753E-2</c:v>
                </c:pt>
                <c:pt idx="21">
                  <c:v>-4.7961999953258783E-3</c:v>
                </c:pt>
                <c:pt idx="22">
                  <c:v>-2.5071999996725935E-2</c:v>
                </c:pt>
                <c:pt idx="23">
                  <c:v>-5.9802999967359938E-3</c:v>
                </c:pt>
                <c:pt idx="24">
                  <c:v>-1.6860700001416262E-2</c:v>
                </c:pt>
                <c:pt idx="25">
                  <c:v>-1.982539999880828E-2</c:v>
                </c:pt>
                <c:pt idx="26">
                  <c:v>-1.1906899999303278E-2</c:v>
                </c:pt>
                <c:pt idx="27">
                  <c:v>9.1463999997358769E-3</c:v>
                </c:pt>
                <c:pt idx="28">
                  <c:v>4.5598199998494238E-2</c:v>
                </c:pt>
                <c:pt idx="29">
                  <c:v>6.4572000046609901E-3</c:v>
                </c:pt>
                <c:pt idx="30">
                  <c:v>-3.6242999995010905E-3</c:v>
                </c:pt>
                <c:pt idx="31">
                  <c:v>2.218449999782024E-2</c:v>
                </c:pt>
                <c:pt idx="32">
                  <c:v>1.3897800003178418E-2</c:v>
                </c:pt>
                <c:pt idx="33">
                  <c:v>-1.3158599998860154E-2</c:v>
                </c:pt>
                <c:pt idx="34">
                  <c:v>-2.8124999953433871E-3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5C-4C72-BFA2-E8CFBDEB7F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6">
                  <c:v>-1.28673999934108E-2</c:v>
                </c:pt>
                <c:pt idx="38">
                  <c:v>-1.712499994027894E-3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5C-4C72-BFA2-E8CFBDEB7F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7">
                  <c:v>-2.512499995646067E-3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5C-4C72-BFA2-E8CFBDEB7F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9">
                  <c:v>-5.7959999903687276E-3</c:v>
                </c:pt>
                <c:pt idx="40">
                  <c:v>-3.6564000038197264E-3</c:v>
                </c:pt>
                <c:pt idx="41">
                  <c:v>-5.193899996811524E-3</c:v>
                </c:pt>
                <c:pt idx="42">
                  <c:v>-4.3361999996704981E-3</c:v>
                </c:pt>
                <c:pt idx="43">
                  <c:v>-1.3449599995510653E-2</c:v>
                </c:pt>
                <c:pt idx="44">
                  <c:v>-7.4202999967383221E-3</c:v>
                </c:pt>
                <c:pt idx="45">
                  <c:v>-9.4213999909698032E-3</c:v>
                </c:pt>
                <c:pt idx="46">
                  <c:v>-1.1540799998329021E-2</c:v>
                </c:pt>
                <c:pt idx="47">
                  <c:v>-7.9351999956998043E-3</c:v>
                </c:pt>
                <c:pt idx="48">
                  <c:v>-9.9101000014343299E-3</c:v>
                </c:pt>
                <c:pt idx="49">
                  <c:v>-1.7014700002619065E-2</c:v>
                </c:pt>
                <c:pt idx="50">
                  <c:v>-9.8170999917783774E-3</c:v>
                </c:pt>
                <c:pt idx="51">
                  <c:v>-6.4170999976340681E-3</c:v>
                </c:pt>
                <c:pt idx="52">
                  <c:v>-6.2170999954105355E-3</c:v>
                </c:pt>
                <c:pt idx="53">
                  <c:v>-1.7014700002619065E-2</c:v>
                </c:pt>
                <c:pt idx="54">
                  <c:v>-4.8242998527712189E-3</c:v>
                </c:pt>
                <c:pt idx="55">
                  <c:v>-9.9335999984759837E-3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5C-4C72-BFA2-E8CFBDEB7F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5C-4C72-BFA2-E8CFBDEB7F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5C-4C72-BFA2-E8CFBDEB7F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5C-4C72-BFA2-E8CFBDEB7F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6.3187877439801381E-4</c:v>
                </c:pt>
                <c:pt idx="1">
                  <c:v>6.0002824716045644E-4</c:v>
                </c:pt>
                <c:pt idx="2">
                  <c:v>5.8977129771107357E-4</c:v>
                </c:pt>
                <c:pt idx="3">
                  <c:v>5.0636610350424972E-4</c:v>
                </c:pt>
                <c:pt idx="4">
                  <c:v>4.8963108071841451E-4</c:v>
                </c:pt>
                <c:pt idx="5">
                  <c:v>4.8072372988079254E-4</c:v>
                </c:pt>
                <c:pt idx="6">
                  <c:v>4.7964405099138379E-4</c:v>
                </c:pt>
                <c:pt idx="7">
                  <c:v>4.7181637904317056E-4</c:v>
                </c:pt>
                <c:pt idx="8">
                  <c:v>3.9866813428572953E-4</c:v>
                </c:pt>
                <c:pt idx="9">
                  <c:v>3.9839821456337738E-4</c:v>
                </c:pt>
                <c:pt idx="10">
                  <c:v>3.8571198761282486E-4</c:v>
                </c:pt>
                <c:pt idx="11">
                  <c:v>3.6789728593758096E-4</c:v>
                </c:pt>
                <c:pt idx="12">
                  <c:v>2.6532779144375221E-4</c:v>
                </c:pt>
                <c:pt idx="13">
                  <c:v>2.6532779144375221E-4</c:v>
                </c:pt>
                <c:pt idx="14">
                  <c:v>2.4481389254498646E-4</c:v>
                </c:pt>
                <c:pt idx="15">
                  <c:v>1.3711592332646633E-4</c:v>
                </c:pt>
                <c:pt idx="16">
                  <c:v>-1.2659564541161431E-4</c:v>
                </c:pt>
                <c:pt idx="17">
                  <c:v>-1.3685259486099718E-4</c:v>
                </c:pt>
                <c:pt idx="18">
                  <c:v>-1.508884204233106E-4</c:v>
                </c:pt>
                <c:pt idx="19">
                  <c:v>-2.5858638964183073E-4</c:v>
                </c:pt>
                <c:pt idx="20">
                  <c:v>-2.6749374047945265E-4</c:v>
                </c:pt>
                <c:pt idx="21">
                  <c:v>-5.123109286528807E-4</c:v>
                </c:pt>
                <c:pt idx="22">
                  <c:v>-5.3012563032812465E-4</c:v>
                </c:pt>
                <c:pt idx="23">
                  <c:v>-7.5712811682630875E-4</c:v>
                </c:pt>
                <c:pt idx="24">
                  <c:v>-8.9424733578121656E-4</c:v>
                </c:pt>
                <c:pt idx="25">
                  <c:v>-1.1288075745052616E-3</c:v>
                </c:pt>
                <c:pt idx="26">
                  <c:v>-1.1301571731170226E-3</c:v>
                </c:pt>
                <c:pt idx="27">
                  <c:v>-1.1325864506181922E-3</c:v>
                </c:pt>
                <c:pt idx="28">
                  <c:v>-1.244333215671995E-3</c:v>
                </c:pt>
                <c:pt idx="29">
                  <c:v>-1.2632275962366477E-3</c:v>
                </c:pt>
                <c:pt idx="30">
                  <c:v>-1.2645771948484087E-3</c:v>
                </c:pt>
                <c:pt idx="31">
                  <c:v>-1.2710552681848609E-3</c:v>
                </c:pt>
                <c:pt idx="32">
                  <c:v>-1.7593400459199561E-3</c:v>
                </c:pt>
                <c:pt idx="33">
                  <c:v>-1.7668977981458171E-3</c:v>
                </c:pt>
                <c:pt idx="34">
                  <c:v>-2.1320991824883176E-3</c:v>
                </c:pt>
                <c:pt idx="35">
                  <c:v>-3.7688923788319422E-3</c:v>
                </c:pt>
                <c:pt idx="36">
                  <c:v>-5.269376115387716E-3</c:v>
                </c:pt>
                <c:pt idx="37">
                  <c:v>-5.6410555730666678E-3</c:v>
                </c:pt>
                <c:pt idx="38">
                  <c:v>-5.6410555730666678E-3</c:v>
                </c:pt>
                <c:pt idx="39">
                  <c:v>-7.4076801558616914E-3</c:v>
                </c:pt>
                <c:pt idx="40">
                  <c:v>-7.652767263757472E-3</c:v>
                </c:pt>
                <c:pt idx="41">
                  <c:v>-7.7404911735219316E-3</c:v>
                </c:pt>
                <c:pt idx="42">
                  <c:v>-8.0160792100435075E-3</c:v>
                </c:pt>
                <c:pt idx="43">
                  <c:v>-8.1289056539867195E-3</c:v>
                </c:pt>
                <c:pt idx="44">
                  <c:v>-8.2608963982169353E-3</c:v>
                </c:pt>
                <c:pt idx="45">
                  <c:v>-8.3680545279907516E-3</c:v>
                </c:pt>
                <c:pt idx="46">
                  <c:v>-8.3783114774401337E-3</c:v>
                </c:pt>
                <c:pt idx="47">
                  <c:v>-8.7529600520649606E-3</c:v>
                </c:pt>
                <c:pt idx="48">
                  <c:v>-9.029087928031242E-3</c:v>
                </c:pt>
                <c:pt idx="49">
                  <c:v>-9.4183121676630864E-3</c:v>
                </c:pt>
                <c:pt idx="50">
                  <c:v>-9.2693164809246834E-3</c:v>
                </c:pt>
                <c:pt idx="51">
                  <c:v>-9.2693164809246834E-3</c:v>
                </c:pt>
                <c:pt idx="52">
                  <c:v>-9.2693164809246834E-3</c:v>
                </c:pt>
                <c:pt idx="53">
                  <c:v>-9.4183121676630864E-3</c:v>
                </c:pt>
                <c:pt idx="54">
                  <c:v>-9.6320885877660134E-3</c:v>
                </c:pt>
                <c:pt idx="55">
                  <c:v>-9.6620496769471067E-3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5C-4C72-BFA2-E8CFBDEB7F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35">
                  <c:v>0.13354429999890272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5C-4C72-BFA2-E8CFBDEB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4192"/>
        <c:axId val="1"/>
      </c:scatterChart>
      <c:valAx>
        <c:axId val="85445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4736801594814"/>
          <c:y val="0.92024539877300615"/>
          <c:w val="0.705279054194472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Mon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5"/>
          <c:w val="0.7830586412249012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7719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73-406F-B143-F95E8FD11A99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7719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1">
                  <c:v>0.92076059999817517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73-406F-B143-F95E8FD11A99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7719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73-406F-B143-F95E8FD11A99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7719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73-406F-B143-F95E8FD11A99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7719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73-406F-B143-F95E8FD11A9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7719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73-406F-B143-F95E8FD11A9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7719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73-406F-B143-F95E8FD11A9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7719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0">
                  <c:v>0</c:v>
                </c:pt>
                <c:pt idx="1">
                  <c:v>0.92076059999817517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73-406F-B143-F95E8FD1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4848"/>
        <c:axId val="1"/>
      </c:scatterChart>
      <c:valAx>
        <c:axId val="85445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266700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32ADD5C-0391-DDE6-4FD2-A5D45DD53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F22768E-5C6A-A24E-7E8B-EB7018BB9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595" TargetMode="External"/><Relationship Id="rId7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vsolj.cetus-net.org/vsoljno50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3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41</v>
      </c>
    </row>
    <row r="2" spans="1:6">
      <c r="A2" t="s">
        <v>28</v>
      </c>
      <c r="B2" s="17" t="s">
        <v>40</v>
      </c>
    </row>
    <row r="3" spans="1:6" ht="13.5" thickBot="1">
      <c r="C3" s="14"/>
    </row>
    <row r="4" spans="1:6" ht="14.25" thickTop="1" thickBot="1">
      <c r="A4" s="8" t="s">
        <v>1</v>
      </c>
      <c r="C4" s="3">
        <v>30315.35</v>
      </c>
      <c r="D4" s="4">
        <v>1.5744326</v>
      </c>
    </row>
    <row r="5" spans="1:6" ht="13.5" thickTop="1">
      <c r="A5" s="18" t="s">
        <v>42</v>
      </c>
      <c r="B5" s="19"/>
      <c r="C5" s="20">
        <v>-9.5</v>
      </c>
      <c r="D5" s="19" t="s">
        <v>43</v>
      </c>
    </row>
    <row r="6" spans="1:6">
      <c r="A6" s="8" t="s">
        <v>2</v>
      </c>
    </row>
    <row r="7" spans="1:6">
      <c r="A7" t="s">
        <v>3</v>
      </c>
      <c r="C7">
        <f>+C4</f>
        <v>30315.35</v>
      </c>
    </row>
    <row r="8" spans="1:6">
      <c r="A8" t="s">
        <v>4</v>
      </c>
      <c r="C8">
        <f>+D4</f>
        <v>1.5744326</v>
      </c>
    </row>
    <row r="9" spans="1:6">
      <c r="A9" s="33" t="s">
        <v>49</v>
      </c>
      <c r="B9" s="34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9"/>
      <c r="B10" s="19"/>
      <c r="C10" s="7" t="s">
        <v>23</v>
      </c>
      <c r="D10" s="7" t="s">
        <v>24</v>
      </c>
      <c r="E10" s="19"/>
    </row>
    <row r="11" spans="1:6">
      <c r="A11" s="19" t="s">
        <v>17</v>
      </c>
      <c r="B11" s="19"/>
      <c r="C11" s="21">
        <f ca="1">INTERCEPT(INDIRECT($D$9):G991,INDIRECT($C$9):F991)</f>
        <v>3.9839821456337738E-4</v>
      </c>
      <c r="D11" s="6"/>
      <c r="E11" s="19"/>
    </row>
    <row r="12" spans="1:6">
      <c r="A12" s="19" t="s">
        <v>18</v>
      </c>
      <c r="B12" s="19"/>
      <c r="C12" s="21">
        <f ca="1">SLOPE(INDIRECT($D$9):G991,INDIRECT($C$9):F991)</f>
        <v>-5.3983944470436162E-7</v>
      </c>
      <c r="D12" s="6"/>
      <c r="E12" s="19"/>
    </row>
    <row r="13" spans="1:6">
      <c r="A13" s="19" t="s">
        <v>22</v>
      </c>
      <c r="B13" s="19"/>
      <c r="C13" s="6" t="s">
        <v>15</v>
      </c>
    </row>
    <row r="14" spans="1:6">
      <c r="A14" s="19"/>
      <c r="B14" s="19"/>
      <c r="C14" s="19"/>
    </row>
    <row r="15" spans="1:6">
      <c r="A15" s="26" t="s">
        <v>19</v>
      </c>
      <c r="B15" s="19"/>
      <c r="C15" s="27">
        <f ca="1">(C7+C11)+(C8+C12)*INT(MAX(F21:F3532))</f>
        <v>59656.466271550322</v>
      </c>
      <c r="E15" s="24" t="s">
        <v>44</v>
      </c>
      <c r="F15" s="20">
        <v>1</v>
      </c>
    </row>
    <row r="16" spans="1:6">
      <c r="A16" s="28" t="s">
        <v>5</v>
      </c>
      <c r="B16" s="19"/>
      <c r="C16" s="29">
        <f ca="1">+C8+C12</f>
        <v>1.5744320601605553</v>
      </c>
      <c r="E16" s="24" t="s">
        <v>45</v>
      </c>
      <c r="F16" s="25">
        <f ca="1">NOW()+15018.5+$C$5/24</f>
        <v>59963.76768842592</v>
      </c>
    </row>
    <row r="17" spans="1:21" ht="13.5" thickBot="1">
      <c r="A17" s="24" t="s">
        <v>39</v>
      </c>
      <c r="B17" s="19"/>
      <c r="C17" s="19">
        <f>COUNT(C21:C2190)</f>
        <v>56</v>
      </c>
      <c r="E17" s="24" t="s">
        <v>46</v>
      </c>
      <c r="F17" s="25">
        <f ca="1">ROUND(2*(F16-$C$7)/$C$8,0)/2+F15</f>
        <v>18832</v>
      </c>
    </row>
    <row r="18" spans="1:21" ht="14.25" thickTop="1" thickBot="1">
      <c r="A18" s="28" t="s">
        <v>6</v>
      </c>
      <c r="B18" s="19"/>
      <c r="C18" s="31">
        <f ca="1">+C15</f>
        <v>59656.466271550322</v>
      </c>
      <c r="D18" s="32">
        <f ca="1">+C16</f>
        <v>1.5744320601605553</v>
      </c>
      <c r="E18" s="24" t="s">
        <v>47</v>
      </c>
      <c r="F18" s="23">
        <f ca="1">ROUND(2*(F16-$C$15)/$C$16,0)/2+F15</f>
        <v>196</v>
      </c>
    </row>
    <row r="19" spans="1:21" ht="13.5" thickTop="1">
      <c r="E19" s="24" t="s">
        <v>48</v>
      </c>
      <c r="F19" s="30">
        <f ca="1">+$C$15+$C$16*F18-15018.5-$C$5/24</f>
        <v>44946.950788675123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60</v>
      </c>
      <c r="I20" s="10" t="s">
        <v>63</v>
      </c>
      <c r="J20" s="10" t="s">
        <v>57</v>
      </c>
      <c r="K20" s="10" t="s">
        <v>51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  <c r="U20" s="59" t="s">
        <v>53</v>
      </c>
    </row>
    <row r="21" spans="1:21">
      <c r="A21" s="50" t="s">
        <v>71</v>
      </c>
      <c r="B21" s="52" t="s">
        <v>235</v>
      </c>
      <c r="C21" s="51">
        <v>29634.449000000001</v>
      </c>
      <c r="D21" s="16"/>
      <c r="E21">
        <f t="shared" ref="E21:E68" si="0">+(C21-C$7)/C$8</f>
        <v>-432.47389567517723</v>
      </c>
      <c r="F21">
        <f t="shared" ref="F21:F69" si="1">ROUND(2*E21,0)/2</f>
        <v>-432.5</v>
      </c>
      <c r="G21">
        <f t="shared" ref="G21:G29" si="2">+C21-(C$7+F21*C$8)</f>
        <v>4.109950000201934E-2</v>
      </c>
      <c r="H21">
        <f t="shared" ref="H21:H29" si="3">+G21</f>
        <v>4.109950000201934E-2</v>
      </c>
      <c r="O21">
        <f t="shared" ref="O21:O68" ca="1" si="4">+C$11+C$12*$F21</f>
        <v>6.3187877439801381E-4</v>
      </c>
      <c r="Q21" s="2">
        <f t="shared" ref="Q21:Q68" si="5">+C21-15018.5</f>
        <v>14615.949000000001</v>
      </c>
    </row>
    <row r="22" spans="1:21">
      <c r="A22" s="50" t="s">
        <v>71</v>
      </c>
      <c r="B22" s="52" t="s">
        <v>235</v>
      </c>
      <c r="C22" s="51">
        <v>29727.332999999999</v>
      </c>
      <c r="D22" s="16"/>
      <c r="E22">
        <f t="shared" si="0"/>
        <v>-373.47867415855075</v>
      </c>
      <c r="F22">
        <f t="shared" si="1"/>
        <v>-373.5</v>
      </c>
      <c r="G22">
        <f t="shared" si="2"/>
        <v>3.3576099998754216E-2</v>
      </c>
      <c r="H22">
        <f t="shared" si="3"/>
        <v>3.3576099998754216E-2</v>
      </c>
      <c r="O22">
        <f t="shared" ca="1" si="4"/>
        <v>6.0002824716045644E-4</v>
      </c>
      <c r="Q22" s="2">
        <f t="shared" si="5"/>
        <v>14708.832999999999</v>
      </c>
    </row>
    <row r="23" spans="1:21">
      <c r="A23" s="50" t="s">
        <v>79</v>
      </c>
      <c r="B23" s="52" t="s">
        <v>235</v>
      </c>
      <c r="C23" s="51">
        <v>29757.22</v>
      </c>
      <c r="D23" s="16"/>
      <c r="E23">
        <f t="shared" si="0"/>
        <v>-354.49596254548936</v>
      </c>
      <c r="F23">
        <f t="shared" si="1"/>
        <v>-354.5</v>
      </c>
      <c r="G23">
        <f t="shared" si="2"/>
        <v>6.3567000033799559E-3</v>
      </c>
      <c r="H23">
        <f t="shared" si="3"/>
        <v>6.3567000033799559E-3</v>
      </c>
      <c r="O23">
        <f t="shared" ca="1" si="4"/>
        <v>5.8977129771107357E-4</v>
      </c>
      <c r="Q23" s="2">
        <f t="shared" si="5"/>
        <v>14738.720000000001</v>
      </c>
    </row>
    <row r="24" spans="1:21">
      <c r="A24" s="50" t="s">
        <v>79</v>
      </c>
      <c r="B24" s="52" t="s">
        <v>38</v>
      </c>
      <c r="C24" s="51">
        <v>30000.48</v>
      </c>
      <c r="D24" s="15"/>
      <c r="E24">
        <f t="shared" si="0"/>
        <v>-199.98950733108487</v>
      </c>
      <c r="F24">
        <f t="shared" si="1"/>
        <v>-200</v>
      </c>
      <c r="G24">
        <f t="shared" si="2"/>
        <v>1.6520000001037261E-2</v>
      </c>
      <c r="H24">
        <f t="shared" si="3"/>
        <v>1.6520000001037261E-2</v>
      </c>
      <c r="O24">
        <f t="shared" ca="1" si="4"/>
        <v>5.0636610350424972E-4</v>
      </c>
      <c r="Q24" s="2">
        <f t="shared" si="5"/>
        <v>14981.98</v>
      </c>
    </row>
    <row r="25" spans="1:21">
      <c r="A25" s="50" t="s">
        <v>79</v>
      </c>
      <c r="B25" s="52" t="s">
        <v>38</v>
      </c>
      <c r="C25" s="51">
        <v>30049.279999999999</v>
      </c>
      <c r="D25" s="15"/>
      <c r="E25">
        <f t="shared" si="0"/>
        <v>-168.9942141695997</v>
      </c>
      <c r="F25">
        <f t="shared" si="1"/>
        <v>-169</v>
      </c>
      <c r="G25">
        <f t="shared" si="2"/>
        <v>9.1094000017619692E-3</v>
      </c>
      <c r="H25">
        <f t="shared" si="3"/>
        <v>9.1094000017619692E-3</v>
      </c>
      <c r="O25">
        <f t="shared" ca="1" si="4"/>
        <v>4.8963108071841451E-4</v>
      </c>
      <c r="Q25" s="2">
        <f t="shared" si="5"/>
        <v>15030.779999999999</v>
      </c>
    </row>
    <row r="26" spans="1:21">
      <c r="A26" s="50" t="s">
        <v>79</v>
      </c>
      <c r="B26" s="52" t="s">
        <v>235</v>
      </c>
      <c r="C26" s="51">
        <v>30075.26</v>
      </c>
      <c r="D26" s="15"/>
      <c r="E26">
        <f t="shared" si="0"/>
        <v>-152.49303145780908</v>
      </c>
      <c r="F26">
        <f t="shared" si="1"/>
        <v>-152.5</v>
      </c>
      <c r="G26">
        <f t="shared" si="2"/>
        <v>1.0971499999868684E-2</v>
      </c>
      <c r="H26">
        <f t="shared" si="3"/>
        <v>1.0971499999868684E-2</v>
      </c>
      <c r="O26">
        <f t="shared" ca="1" si="4"/>
        <v>4.8072372988079254E-4</v>
      </c>
      <c r="Q26" s="2">
        <f t="shared" si="5"/>
        <v>15056.759999999998</v>
      </c>
    </row>
    <row r="27" spans="1:21">
      <c r="A27" s="50" t="s">
        <v>71</v>
      </c>
      <c r="B27" s="52" t="s">
        <v>235</v>
      </c>
      <c r="C27" s="51">
        <v>30078.366000000002</v>
      </c>
      <c r="D27" s="15"/>
      <c r="E27">
        <f t="shared" si="0"/>
        <v>-150.52025726601238</v>
      </c>
      <c r="F27">
        <f t="shared" si="1"/>
        <v>-150.5</v>
      </c>
      <c r="G27">
        <f t="shared" si="2"/>
        <v>-3.189369999745395E-2</v>
      </c>
      <c r="H27">
        <f t="shared" si="3"/>
        <v>-3.189369999745395E-2</v>
      </c>
      <c r="O27">
        <f t="shared" ca="1" si="4"/>
        <v>4.7964405099138379E-4</v>
      </c>
      <c r="Q27" s="2">
        <f t="shared" si="5"/>
        <v>15059.866000000002</v>
      </c>
    </row>
    <row r="28" spans="1:21">
      <c r="A28" s="50" t="s">
        <v>79</v>
      </c>
      <c r="B28" s="52" t="s">
        <v>38</v>
      </c>
      <c r="C28" s="51">
        <v>30101.24</v>
      </c>
      <c r="D28" s="15"/>
      <c r="E28">
        <f t="shared" si="0"/>
        <v>-135.99184874601616</v>
      </c>
      <c r="F28">
        <f t="shared" si="1"/>
        <v>-136</v>
      </c>
      <c r="G28">
        <f t="shared" si="2"/>
        <v>1.2833600001613377E-2</v>
      </c>
      <c r="H28">
        <f t="shared" si="3"/>
        <v>1.2833600001613377E-2</v>
      </c>
      <c r="O28">
        <f t="shared" ca="1" si="4"/>
        <v>4.7181637904317056E-4</v>
      </c>
      <c r="Q28" s="2">
        <f t="shared" si="5"/>
        <v>15082.740000000002</v>
      </c>
    </row>
    <row r="29" spans="1:21">
      <c r="A29" s="50" t="s">
        <v>79</v>
      </c>
      <c r="B29" s="52" t="s">
        <v>235</v>
      </c>
      <c r="C29" s="51">
        <v>30314.48</v>
      </c>
      <c r="D29" s="15"/>
      <c r="E29">
        <f t="shared" si="0"/>
        <v>-0.55258002152583818</v>
      </c>
      <c r="F29">
        <f t="shared" si="1"/>
        <v>-0.5</v>
      </c>
      <c r="G29">
        <f t="shared" si="2"/>
        <v>-8.2783699999708915E-2</v>
      </c>
      <c r="H29">
        <f t="shared" si="3"/>
        <v>-8.2783699999708915E-2</v>
      </c>
      <c r="O29">
        <f t="shared" ca="1" si="4"/>
        <v>3.9866813428572953E-4</v>
      </c>
      <c r="Q29" s="2">
        <f t="shared" si="5"/>
        <v>15295.98</v>
      </c>
    </row>
    <row r="30" spans="1:21">
      <c r="A30" t="s">
        <v>13</v>
      </c>
      <c r="C30" s="16">
        <v>30315.35</v>
      </c>
      <c r="D30" s="16" t="s">
        <v>15</v>
      </c>
      <c r="E30">
        <f t="shared" si="0"/>
        <v>0</v>
      </c>
      <c r="F30">
        <f t="shared" si="1"/>
        <v>0</v>
      </c>
      <c r="H30">
        <v>0</v>
      </c>
      <c r="O30">
        <f t="shared" ca="1" si="4"/>
        <v>3.9839821456337738E-4</v>
      </c>
      <c r="Q30" s="2">
        <f t="shared" si="5"/>
        <v>15296.849999999999</v>
      </c>
    </row>
    <row r="31" spans="1:21">
      <c r="A31" s="50" t="s">
        <v>79</v>
      </c>
      <c r="B31" s="52" t="s">
        <v>235</v>
      </c>
      <c r="C31" s="51">
        <v>30352.33</v>
      </c>
      <c r="D31" s="15"/>
      <c r="E31">
        <f t="shared" si="0"/>
        <v>23.487826662127805</v>
      </c>
      <c r="F31">
        <f t="shared" si="1"/>
        <v>23.5</v>
      </c>
      <c r="G31">
        <f t="shared" ref="G31:G55" si="6">+C31-(C$7+F31*C$8)</f>
        <v>-1.9166099995345576E-2</v>
      </c>
      <c r="H31">
        <f t="shared" ref="H31:H55" si="7">+G31</f>
        <v>-1.9166099995345576E-2</v>
      </c>
      <c r="O31">
        <f t="shared" ca="1" si="4"/>
        <v>3.8571198761282486E-4</v>
      </c>
      <c r="Q31" s="2">
        <f t="shared" si="5"/>
        <v>15333.830000000002</v>
      </c>
    </row>
    <row r="32" spans="1:21">
      <c r="A32" s="50" t="s">
        <v>79</v>
      </c>
      <c r="B32" s="52" t="s">
        <v>235</v>
      </c>
      <c r="C32" s="51">
        <v>30404.28</v>
      </c>
      <c r="D32" s="15"/>
      <c r="E32">
        <f t="shared" si="0"/>
        <v>56.483840591207453</v>
      </c>
      <c r="F32">
        <f t="shared" si="1"/>
        <v>56.5</v>
      </c>
      <c r="G32">
        <f t="shared" si="6"/>
        <v>-2.5441900001169415E-2</v>
      </c>
      <c r="H32">
        <f t="shared" si="7"/>
        <v>-2.5441900001169415E-2</v>
      </c>
      <c r="O32">
        <f t="shared" ca="1" si="4"/>
        <v>3.6789728593758096E-4</v>
      </c>
      <c r="Q32" s="2">
        <f t="shared" si="5"/>
        <v>15385.779999999999</v>
      </c>
    </row>
    <row r="33" spans="1:17">
      <c r="A33" s="50" t="s">
        <v>71</v>
      </c>
      <c r="B33" s="52" t="s">
        <v>235</v>
      </c>
      <c r="C33" s="51">
        <v>30703.460999999999</v>
      </c>
      <c r="D33" s="15"/>
      <c r="E33">
        <f t="shared" si="0"/>
        <v>246.50848820076567</v>
      </c>
      <c r="F33">
        <f t="shared" si="1"/>
        <v>246.5</v>
      </c>
      <c r="G33">
        <f t="shared" si="6"/>
        <v>1.3364099999307655E-2</v>
      </c>
      <c r="H33">
        <f t="shared" si="7"/>
        <v>1.3364099999307655E-2</v>
      </c>
      <c r="O33">
        <f t="shared" ca="1" si="4"/>
        <v>2.6532779144375221E-4</v>
      </c>
      <c r="Q33" s="2">
        <f t="shared" si="5"/>
        <v>15684.960999999999</v>
      </c>
    </row>
    <row r="34" spans="1:17">
      <c r="A34" s="50" t="s">
        <v>79</v>
      </c>
      <c r="B34" s="52" t="s">
        <v>235</v>
      </c>
      <c r="C34" s="51">
        <v>30703.47</v>
      </c>
      <c r="D34" s="15"/>
      <c r="E34">
        <f t="shared" si="0"/>
        <v>246.51420454581711</v>
      </c>
      <c r="F34">
        <f t="shared" si="1"/>
        <v>246.5</v>
      </c>
      <c r="G34">
        <f t="shared" si="6"/>
        <v>2.2364100001141196E-2</v>
      </c>
      <c r="H34">
        <f t="shared" si="7"/>
        <v>2.2364100001141196E-2</v>
      </c>
      <c r="O34">
        <f t="shared" ca="1" si="4"/>
        <v>2.6532779144375221E-4</v>
      </c>
      <c r="Q34" s="2">
        <f t="shared" si="5"/>
        <v>15684.970000000001</v>
      </c>
    </row>
    <row r="35" spans="1:17">
      <c r="A35" s="50" t="s">
        <v>79</v>
      </c>
      <c r="B35" s="52" t="s">
        <v>235</v>
      </c>
      <c r="C35" s="51">
        <v>30763.33</v>
      </c>
      <c r="D35" s="15"/>
      <c r="E35">
        <f t="shared" si="0"/>
        <v>284.53425062463975</v>
      </c>
      <c r="F35">
        <f t="shared" si="1"/>
        <v>284.5</v>
      </c>
      <c r="G35">
        <f t="shared" si="6"/>
        <v>5.3925300002447329E-2</v>
      </c>
      <c r="H35">
        <f t="shared" si="7"/>
        <v>5.3925300002447329E-2</v>
      </c>
      <c r="O35">
        <f t="shared" ca="1" si="4"/>
        <v>2.4481389254498646E-4</v>
      </c>
      <c r="Q35" s="2">
        <f t="shared" si="5"/>
        <v>15744.830000000002</v>
      </c>
    </row>
    <row r="36" spans="1:17">
      <c r="A36" s="50" t="s">
        <v>71</v>
      </c>
      <c r="B36" s="52" t="s">
        <v>38</v>
      </c>
      <c r="C36" s="51">
        <v>31077.391</v>
      </c>
      <c r="D36" s="15"/>
      <c r="E36">
        <f t="shared" si="0"/>
        <v>484.00992205064927</v>
      </c>
      <c r="F36">
        <f t="shared" si="1"/>
        <v>484</v>
      </c>
      <c r="G36">
        <f t="shared" si="6"/>
        <v>1.5621599999576574E-2</v>
      </c>
      <c r="H36">
        <f t="shared" si="7"/>
        <v>1.5621599999576574E-2</v>
      </c>
      <c r="O36">
        <f t="shared" ca="1" si="4"/>
        <v>1.3711592332646633E-4</v>
      </c>
      <c r="Q36" s="2">
        <f t="shared" si="5"/>
        <v>16058.891</v>
      </c>
    </row>
    <row r="37" spans="1:17">
      <c r="A37" s="50" t="s">
        <v>71</v>
      </c>
      <c r="B37" s="52" t="s">
        <v>235</v>
      </c>
      <c r="C37" s="51">
        <v>31846.485000000001</v>
      </c>
      <c r="D37" s="15"/>
      <c r="E37">
        <f t="shared" si="0"/>
        <v>972.49955317236322</v>
      </c>
      <c r="F37">
        <f t="shared" si="1"/>
        <v>972.5</v>
      </c>
      <c r="G37">
        <f t="shared" si="6"/>
        <v>-7.0349999805330299E-4</v>
      </c>
      <c r="H37">
        <f t="shared" si="7"/>
        <v>-7.0349999805330299E-4</v>
      </c>
      <c r="O37">
        <f t="shared" ca="1" si="4"/>
        <v>-1.2659564541161431E-4</v>
      </c>
      <c r="Q37" s="2">
        <f t="shared" si="5"/>
        <v>16827.985000000001</v>
      </c>
    </row>
    <row r="38" spans="1:17">
      <c r="A38" s="50" t="s">
        <v>71</v>
      </c>
      <c r="B38" s="52" t="s">
        <v>235</v>
      </c>
      <c r="C38" s="51">
        <v>31876.406999999999</v>
      </c>
      <c r="D38" s="15"/>
      <c r="E38">
        <f t="shared" si="0"/>
        <v>991.50449501617322</v>
      </c>
      <c r="F38">
        <f t="shared" si="1"/>
        <v>991.5</v>
      </c>
      <c r="G38">
        <f t="shared" si="6"/>
        <v>7.0770999991509598E-3</v>
      </c>
      <c r="H38">
        <f t="shared" si="7"/>
        <v>7.0770999991509598E-3</v>
      </c>
      <c r="O38">
        <f t="shared" ca="1" si="4"/>
        <v>-1.3685259486099718E-4</v>
      </c>
      <c r="Q38" s="2">
        <f t="shared" si="5"/>
        <v>16857.906999999999</v>
      </c>
    </row>
    <row r="39" spans="1:17">
      <c r="A39" s="50" t="s">
        <v>71</v>
      </c>
      <c r="B39" s="52" t="s">
        <v>235</v>
      </c>
      <c r="C39" s="51">
        <v>31917.328000000001</v>
      </c>
      <c r="D39" s="15"/>
      <c r="E39">
        <f t="shared" si="0"/>
        <v>1017.4954456608704</v>
      </c>
      <c r="F39">
        <f t="shared" si="1"/>
        <v>1017.5</v>
      </c>
      <c r="G39">
        <f t="shared" si="6"/>
        <v>-7.1704999973007943E-3</v>
      </c>
      <c r="H39">
        <f t="shared" si="7"/>
        <v>-7.1704999973007943E-3</v>
      </c>
      <c r="O39">
        <f t="shared" ca="1" si="4"/>
        <v>-1.508884204233106E-4</v>
      </c>
      <c r="Q39" s="2">
        <f t="shared" si="5"/>
        <v>16898.828000000001</v>
      </c>
    </row>
    <row r="40" spans="1:17">
      <c r="A40" s="50" t="s">
        <v>71</v>
      </c>
      <c r="B40" s="52" t="s">
        <v>38</v>
      </c>
      <c r="C40" s="51">
        <v>32231.422999999999</v>
      </c>
      <c r="D40" s="15"/>
      <c r="E40">
        <f t="shared" si="0"/>
        <v>1216.9927121681808</v>
      </c>
      <c r="F40">
        <f t="shared" si="1"/>
        <v>1217</v>
      </c>
      <c r="G40">
        <f t="shared" si="6"/>
        <v>-1.1474200000520796E-2</v>
      </c>
      <c r="H40">
        <f t="shared" si="7"/>
        <v>-1.1474200000520796E-2</v>
      </c>
      <c r="O40">
        <f t="shared" ca="1" si="4"/>
        <v>-2.5858638964183073E-4</v>
      </c>
      <c r="Q40" s="2">
        <f t="shared" si="5"/>
        <v>17212.922999999999</v>
      </c>
    </row>
    <row r="41" spans="1:17">
      <c r="A41" s="50" t="s">
        <v>71</v>
      </c>
      <c r="B41" s="52" t="s">
        <v>235</v>
      </c>
      <c r="C41" s="51">
        <v>32257.386999999999</v>
      </c>
      <c r="D41" s="15"/>
      <c r="E41">
        <f t="shared" si="0"/>
        <v>1233.483732488771</v>
      </c>
      <c r="F41">
        <f t="shared" si="1"/>
        <v>1233.5</v>
      </c>
      <c r="G41">
        <f t="shared" si="6"/>
        <v>-2.5612099998397753E-2</v>
      </c>
      <c r="H41">
        <f t="shared" si="7"/>
        <v>-2.5612099998397753E-2</v>
      </c>
      <c r="O41">
        <f t="shared" ca="1" si="4"/>
        <v>-2.6749374047945265E-4</v>
      </c>
      <c r="Q41" s="2">
        <f t="shared" si="5"/>
        <v>17238.886999999999</v>
      </c>
    </row>
    <row r="42" spans="1:17">
      <c r="A42" s="50" t="s">
        <v>71</v>
      </c>
      <c r="B42" s="52" t="s">
        <v>38</v>
      </c>
      <c r="C42" s="51">
        <v>32971.413</v>
      </c>
      <c r="D42" s="15"/>
      <c r="E42">
        <f t="shared" si="0"/>
        <v>1686.9969536962089</v>
      </c>
      <c r="F42">
        <f t="shared" si="1"/>
        <v>1687</v>
      </c>
      <c r="G42">
        <f t="shared" si="6"/>
        <v>-4.7961999953258783E-3</v>
      </c>
      <c r="H42">
        <f t="shared" si="7"/>
        <v>-4.7961999953258783E-3</v>
      </c>
      <c r="O42">
        <f t="shared" ca="1" si="4"/>
        <v>-5.123109286528807E-4</v>
      </c>
      <c r="Q42" s="2">
        <f t="shared" si="5"/>
        <v>17952.913</v>
      </c>
    </row>
    <row r="43" spans="1:17">
      <c r="A43" s="50" t="s">
        <v>71</v>
      </c>
      <c r="B43" s="52" t="s">
        <v>38</v>
      </c>
      <c r="C43" s="51">
        <v>33023.349000000002</v>
      </c>
      <c r="D43" s="15"/>
      <c r="E43">
        <f t="shared" si="0"/>
        <v>1719.984075532991</v>
      </c>
      <c r="F43">
        <f t="shared" si="1"/>
        <v>1720</v>
      </c>
      <c r="G43">
        <f t="shared" si="6"/>
        <v>-2.5071999996725935E-2</v>
      </c>
      <c r="H43">
        <f t="shared" si="7"/>
        <v>-2.5071999996725935E-2</v>
      </c>
      <c r="O43">
        <f t="shared" ca="1" si="4"/>
        <v>-5.3012563032812465E-4</v>
      </c>
      <c r="Q43" s="2">
        <f t="shared" si="5"/>
        <v>18004.849000000002</v>
      </c>
    </row>
    <row r="44" spans="1:17">
      <c r="A44" s="50" t="s">
        <v>71</v>
      </c>
      <c r="B44" s="52" t="s">
        <v>235</v>
      </c>
      <c r="C44" s="51">
        <v>33685.417000000001</v>
      </c>
      <c r="D44" s="15"/>
      <c r="E44">
        <f t="shared" si="0"/>
        <v>2140.4962016157456</v>
      </c>
      <c r="F44">
        <f t="shared" si="1"/>
        <v>2140.5</v>
      </c>
      <c r="G44">
        <f t="shared" si="6"/>
        <v>-5.9802999967359938E-3</v>
      </c>
      <c r="H44">
        <f t="shared" si="7"/>
        <v>-5.9802999967359938E-3</v>
      </c>
      <c r="O44">
        <f t="shared" ca="1" si="4"/>
        <v>-7.5712811682630875E-4</v>
      </c>
      <c r="Q44" s="2">
        <f t="shared" si="5"/>
        <v>18666.917000000001</v>
      </c>
    </row>
    <row r="45" spans="1:17">
      <c r="A45" s="50" t="s">
        <v>71</v>
      </c>
      <c r="B45" s="52" t="s">
        <v>235</v>
      </c>
      <c r="C45" s="51">
        <v>34085.311999999998</v>
      </c>
      <c r="D45" s="15"/>
      <c r="E45">
        <f t="shared" si="0"/>
        <v>2394.4892909356677</v>
      </c>
      <c r="F45">
        <f t="shared" si="1"/>
        <v>2394.5</v>
      </c>
      <c r="G45">
        <f t="shared" si="6"/>
        <v>-1.6860700001416262E-2</v>
      </c>
      <c r="H45">
        <f t="shared" si="7"/>
        <v>-1.6860700001416262E-2</v>
      </c>
      <c r="O45">
        <f t="shared" ca="1" si="4"/>
        <v>-8.9424733578121656E-4</v>
      </c>
      <c r="Q45" s="2">
        <f t="shared" si="5"/>
        <v>19066.811999999998</v>
      </c>
    </row>
    <row r="46" spans="1:17">
      <c r="A46" s="50" t="s">
        <v>71</v>
      </c>
      <c r="B46" s="52" t="s">
        <v>38</v>
      </c>
      <c r="C46" s="51">
        <v>34769.4</v>
      </c>
      <c r="D46" s="15"/>
      <c r="E46">
        <f t="shared" si="0"/>
        <v>2828.9874079080951</v>
      </c>
      <c r="F46">
        <f t="shared" si="1"/>
        <v>2829</v>
      </c>
      <c r="G46">
        <f t="shared" si="6"/>
        <v>-1.982539999880828E-2</v>
      </c>
      <c r="H46">
        <f t="shared" si="7"/>
        <v>-1.982539999880828E-2</v>
      </c>
      <c r="O46">
        <f t="shared" ca="1" si="4"/>
        <v>-1.1288075745052616E-3</v>
      </c>
      <c r="Q46" s="2">
        <f t="shared" si="5"/>
        <v>19750.900000000001</v>
      </c>
    </row>
    <row r="47" spans="1:17">
      <c r="A47" s="50" t="s">
        <v>71</v>
      </c>
      <c r="B47" s="52" t="s">
        <v>235</v>
      </c>
      <c r="C47" s="51">
        <v>34773.343999999997</v>
      </c>
      <c r="D47" s="15"/>
      <c r="E47">
        <f t="shared" si="0"/>
        <v>2831.4924373390127</v>
      </c>
      <c r="F47">
        <f t="shared" si="1"/>
        <v>2831.5</v>
      </c>
      <c r="G47">
        <f t="shared" si="6"/>
        <v>-1.1906899999303278E-2</v>
      </c>
      <c r="H47">
        <f t="shared" si="7"/>
        <v>-1.1906899999303278E-2</v>
      </c>
      <c r="O47">
        <f t="shared" ca="1" si="4"/>
        <v>-1.1301571731170226E-3</v>
      </c>
      <c r="Q47" s="2">
        <f t="shared" si="5"/>
        <v>19754.843999999997</v>
      </c>
    </row>
    <row r="48" spans="1:17">
      <c r="A48" s="50" t="s">
        <v>71</v>
      </c>
      <c r="B48" s="52" t="s">
        <v>38</v>
      </c>
      <c r="C48" s="51">
        <v>34780.449999999997</v>
      </c>
      <c r="D48" s="15"/>
      <c r="E48">
        <f t="shared" si="0"/>
        <v>2836.005809330929</v>
      </c>
      <c r="F48">
        <f t="shared" si="1"/>
        <v>2836</v>
      </c>
      <c r="G48">
        <f t="shared" si="6"/>
        <v>9.1463999997358769E-3</v>
      </c>
      <c r="H48">
        <f t="shared" si="7"/>
        <v>9.1463999997358769E-3</v>
      </c>
      <c r="O48">
        <f t="shared" ca="1" si="4"/>
        <v>-1.1325864506181922E-3</v>
      </c>
      <c r="Q48" s="2">
        <f t="shared" si="5"/>
        <v>19761.949999999997</v>
      </c>
    </row>
    <row r="49" spans="1:30">
      <c r="A49" s="50" t="s">
        <v>71</v>
      </c>
      <c r="B49" s="52" t="s">
        <v>38</v>
      </c>
      <c r="C49" s="51">
        <v>35106.394</v>
      </c>
      <c r="D49" s="15"/>
      <c r="E49">
        <f t="shared" si="0"/>
        <v>3043.0289616716536</v>
      </c>
      <c r="F49">
        <f t="shared" si="1"/>
        <v>3043</v>
      </c>
      <c r="G49">
        <f t="shared" si="6"/>
        <v>4.5598199998494238E-2</v>
      </c>
      <c r="H49">
        <f t="shared" si="7"/>
        <v>4.5598199998494238E-2</v>
      </c>
      <c r="O49">
        <f t="shared" ca="1" si="4"/>
        <v>-1.244333215671995E-3</v>
      </c>
      <c r="Q49" s="2">
        <f t="shared" si="5"/>
        <v>20087.894</v>
      </c>
    </row>
    <row r="50" spans="1:30">
      <c r="A50" s="50" t="s">
        <v>71</v>
      </c>
      <c r="B50" s="52" t="s">
        <v>38</v>
      </c>
      <c r="C50" s="51">
        <v>35161.46</v>
      </c>
      <c r="D50" s="15"/>
      <c r="E50">
        <f t="shared" si="0"/>
        <v>3078.0041012870292</v>
      </c>
      <c r="F50">
        <f t="shared" si="1"/>
        <v>3078</v>
      </c>
      <c r="G50">
        <f t="shared" si="6"/>
        <v>6.4572000046609901E-3</v>
      </c>
      <c r="H50">
        <f t="shared" si="7"/>
        <v>6.4572000046609901E-3</v>
      </c>
      <c r="O50">
        <f t="shared" ca="1" si="4"/>
        <v>-1.2632275962366477E-3</v>
      </c>
      <c r="Q50" s="2">
        <f t="shared" si="5"/>
        <v>20142.96</v>
      </c>
    </row>
    <row r="51" spans="1:30">
      <c r="A51" s="50" t="s">
        <v>71</v>
      </c>
      <c r="B51" s="52" t="s">
        <v>235</v>
      </c>
      <c r="C51" s="51">
        <v>35165.385999999999</v>
      </c>
      <c r="D51" s="15"/>
      <c r="E51">
        <f t="shared" si="0"/>
        <v>3080.4976980278484</v>
      </c>
      <c r="F51">
        <f t="shared" si="1"/>
        <v>3080.5</v>
      </c>
      <c r="G51">
        <f t="shared" si="6"/>
        <v>-3.6242999995010905E-3</v>
      </c>
      <c r="H51">
        <f t="shared" si="7"/>
        <v>-3.6242999995010905E-3</v>
      </c>
      <c r="O51">
        <f t="shared" ca="1" si="4"/>
        <v>-1.2645771948484087E-3</v>
      </c>
      <c r="Q51" s="2">
        <f t="shared" si="5"/>
        <v>20146.885999999999</v>
      </c>
    </row>
    <row r="52" spans="1:30">
      <c r="A52" s="50" t="s">
        <v>71</v>
      </c>
      <c r="B52" s="52" t="s">
        <v>235</v>
      </c>
      <c r="C52" s="51">
        <v>35184.305</v>
      </c>
      <c r="D52" s="15"/>
      <c r="E52">
        <f t="shared" si="0"/>
        <v>3092.5140904729756</v>
      </c>
      <c r="F52">
        <f t="shared" si="1"/>
        <v>3092.5</v>
      </c>
      <c r="G52">
        <f t="shared" si="6"/>
        <v>2.218449999782024E-2</v>
      </c>
      <c r="H52">
        <f t="shared" si="7"/>
        <v>2.218449999782024E-2</v>
      </c>
      <c r="O52">
        <f t="shared" ca="1" si="4"/>
        <v>-1.2710552681848609E-3</v>
      </c>
      <c r="Q52" s="2">
        <f t="shared" si="5"/>
        <v>20165.805</v>
      </c>
    </row>
    <row r="53" spans="1:30">
      <c r="A53" s="50" t="s">
        <v>71</v>
      </c>
      <c r="B53" s="52" t="s">
        <v>38</v>
      </c>
      <c r="C53" s="51">
        <v>36608.370999999999</v>
      </c>
      <c r="D53" s="15"/>
      <c r="E53">
        <f t="shared" si="0"/>
        <v>3997.0088271800273</v>
      </c>
      <c r="F53">
        <f t="shared" si="1"/>
        <v>3997</v>
      </c>
      <c r="G53">
        <f t="shared" si="6"/>
        <v>1.3897800003178418E-2</v>
      </c>
      <c r="H53">
        <f t="shared" si="7"/>
        <v>1.3897800003178418E-2</v>
      </c>
      <c r="O53">
        <f t="shared" ca="1" si="4"/>
        <v>-1.7593400459199561E-3</v>
      </c>
      <c r="Q53" s="2">
        <f t="shared" si="5"/>
        <v>21589.870999999999</v>
      </c>
    </row>
    <row r="54" spans="1:30">
      <c r="A54" s="50" t="s">
        <v>71</v>
      </c>
      <c r="B54" s="52" t="s">
        <v>38</v>
      </c>
      <c r="C54" s="51">
        <v>36630.385999999999</v>
      </c>
      <c r="D54" s="15"/>
      <c r="E54">
        <f t="shared" si="0"/>
        <v>4010.9916423224468</v>
      </c>
      <c r="F54">
        <f t="shared" si="1"/>
        <v>4011</v>
      </c>
      <c r="G54">
        <f t="shared" si="6"/>
        <v>-1.3158599998860154E-2</v>
      </c>
      <c r="H54">
        <f t="shared" si="7"/>
        <v>-1.3158599998860154E-2</v>
      </c>
      <c r="O54">
        <f t="shared" ca="1" si="4"/>
        <v>-1.7668977981458171E-3</v>
      </c>
      <c r="Q54" s="2">
        <f t="shared" si="5"/>
        <v>21611.885999999999</v>
      </c>
    </row>
    <row r="55" spans="1:30">
      <c r="A55" s="50" t="s">
        <v>71</v>
      </c>
      <c r="B55" s="52" t="s">
        <v>235</v>
      </c>
      <c r="C55" s="51">
        <v>37695.5</v>
      </c>
      <c r="D55" s="15"/>
      <c r="E55">
        <f t="shared" si="0"/>
        <v>4687.4982136421731</v>
      </c>
      <c r="F55">
        <f t="shared" si="1"/>
        <v>4687.5</v>
      </c>
      <c r="G55">
        <f t="shared" si="6"/>
        <v>-2.8124999953433871E-3</v>
      </c>
      <c r="H55">
        <f t="shared" si="7"/>
        <v>-2.8124999953433871E-3</v>
      </c>
      <c r="O55">
        <f t="shared" ca="1" si="4"/>
        <v>-2.1320991824883176E-3</v>
      </c>
      <c r="Q55" s="2">
        <f t="shared" si="5"/>
        <v>22677</v>
      </c>
    </row>
    <row r="56" spans="1:30">
      <c r="A56" t="s">
        <v>34</v>
      </c>
      <c r="C56" s="16">
        <v>42469.315999999999</v>
      </c>
      <c r="D56" s="16"/>
      <c r="E56">
        <f t="shared" si="0"/>
        <v>7719.5848205887005</v>
      </c>
      <c r="F56">
        <f t="shared" si="1"/>
        <v>7719.5</v>
      </c>
      <c r="O56">
        <f t="shared" ca="1" si="4"/>
        <v>-3.7688923788319422E-3</v>
      </c>
      <c r="Q56" s="2">
        <f t="shared" si="5"/>
        <v>27450.815999999999</v>
      </c>
      <c r="U56">
        <f>+C56-(C$7+F56*C$8)</f>
        <v>0.13354429999890272</v>
      </c>
      <c r="AA56">
        <v>9</v>
      </c>
      <c r="AB56" t="s">
        <v>33</v>
      </c>
      <c r="AD56" t="s">
        <v>35</v>
      </c>
    </row>
    <row r="57" spans="1:30">
      <c r="A57" s="50" t="s">
        <v>177</v>
      </c>
      <c r="B57" s="52" t="s">
        <v>38</v>
      </c>
      <c r="C57" s="51">
        <v>46845.305</v>
      </c>
      <c r="D57" s="15"/>
      <c r="E57">
        <f t="shared" si="0"/>
        <v>10498.991827277969</v>
      </c>
      <c r="F57">
        <f t="shared" si="1"/>
        <v>10499</v>
      </c>
      <c r="G57">
        <f t="shared" ref="G57:G68" si="8">+C57-(C$7+F57*C$8)</f>
        <v>-1.28673999934108E-2</v>
      </c>
      <c r="I57">
        <f>+G57</f>
        <v>-1.28673999934108E-2</v>
      </c>
      <c r="O57">
        <f t="shared" ca="1" si="4"/>
        <v>-5.269376115387716E-3</v>
      </c>
      <c r="Q57" s="2">
        <f t="shared" si="5"/>
        <v>31826.805</v>
      </c>
    </row>
    <row r="58" spans="1:30">
      <c r="A58" s="50" t="s">
        <v>184</v>
      </c>
      <c r="B58" s="52" t="s">
        <v>235</v>
      </c>
      <c r="C58" s="51">
        <v>47929.3122</v>
      </c>
      <c r="D58" s="15"/>
      <c r="E58">
        <f t="shared" si="0"/>
        <v>11187.498404187008</v>
      </c>
      <c r="F58">
        <f t="shared" si="1"/>
        <v>11187.5</v>
      </c>
      <c r="G58">
        <f t="shared" si="8"/>
        <v>-2.512499995646067E-3</v>
      </c>
      <c r="J58">
        <f>+G58</f>
        <v>-2.512499995646067E-3</v>
      </c>
      <c r="O58">
        <f t="shared" ca="1" si="4"/>
        <v>-5.6410555730666678E-3</v>
      </c>
      <c r="Q58" s="2">
        <f t="shared" si="5"/>
        <v>32910.8122</v>
      </c>
    </row>
    <row r="59" spans="1:30">
      <c r="A59" s="50" t="s">
        <v>189</v>
      </c>
      <c r="B59" s="52" t="s">
        <v>235</v>
      </c>
      <c r="C59" s="51">
        <v>47929.313000000002</v>
      </c>
      <c r="D59" s="15"/>
      <c r="E59">
        <f t="shared" si="0"/>
        <v>11187.49891230657</v>
      </c>
      <c r="F59">
        <f t="shared" si="1"/>
        <v>11187.5</v>
      </c>
      <c r="G59">
        <f t="shared" si="8"/>
        <v>-1.712499994027894E-3</v>
      </c>
      <c r="I59">
        <f>+G59</f>
        <v>-1.712499994027894E-3</v>
      </c>
      <c r="O59">
        <f t="shared" ca="1" si="4"/>
        <v>-5.6410555730666678E-3</v>
      </c>
      <c r="Q59" s="2">
        <f t="shared" si="5"/>
        <v>32910.813000000002</v>
      </c>
    </row>
    <row r="60" spans="1:30">
      <c r="A60" s="12" t="s">
        <v>37</v>
      </c>
      <c r="B60" s="13" t="s">
        <v>38</v>
      </c>
      <c r="C60" s="16">
        <v>53081.639600000002</v>
      </c>
      <c r="D60" s="16">
        <v>8.0000000000000004E-4</v>
      </c>
      <c r="E60">
        <f t="shared" si="0"/>
        <v>14459.99631867379</v>
      </c>
      <c r="F60">
        <f t="shared" si="1"/>
        <v>14460</v>
      </c>
      <c r="G60">
        <f t="shared" si="8"/>
        <v>-5.7959999903687276E-3</v>
      </c>
      <c r="K60">
        <f t="shared" ref="K60:K69" si="9">+G60</f>
        <v>-5.7959999903687276E-3</v>
      </c>
      <c r="O60">
        <f t="shared" ca="1" si="4"/>
        <v>-7.4076801558616914E-3</v>
      </c>
      <c r="Q60" s="2">
        <f t="shared" si="5"/>
        <v>38063.139600000002</v>
      </c>
    </row>
    <row r="61" spans="1:30">
      <c r="A61" s="35" t="s">
        <v>50</v>
      </c>
      <c r="B61" s="36" t="s">
        <v>38</v>
      </c>
      <c r="C61" s="35">
        <v>53796.434139999998</v>
      </c>
      <c r="D61" s="35" t="s">
        <v>51</v>
      </c>
      <c r="E61">
        <f t="shared" si="0"/>
        <v>14913.997677639551</v>
      </c>
      <c r="F61">
        <f t="shared" si="1"/>
        <v>14914</v>
      </c>
      <c r="G61">
        <f t="shared" si="8"/>
        <v>-3.6564000038197264E-3</v>
      </c>
      <c r="K61">
        <f t="shared" si="9"/>
        <v>-3.6564000038197264E-3</v>
      </c>
      <c r="O61">
        <f t="shared" ca="1" si="4"/>
        <v>-7.652767263757472E-3</v>
      </c>
      <c r="Q61" s="2">
        <f t="shared" si="5"/>
        <v>38777.934139999998</v>
      </c>
    </row>
    <row r="62" spans="1:30">
      <c r="A62" s="50" t="s">
        <v>206</v>
      </c>
      <c r="B62" s="52" t="s">
        <v>235</v>
      </c>
      <c r="C62" s="51">
        <v>54052.277900000001</v>
      </c>
      <c r="D62" s="15"/>
      <c r="E62">
        <f t="shared" si="0"/>
        <v>15076.496701097274</v>
      </c>
      <c r="F62">
        <f t="shared" si="1"/>
        <v>15076.5</v>
      </c>
      <c r="G62">
        <f t="shared" si="8"/>
        <v>-5.193899996811524E-3</v>
      </c>
      <c r="K62">
        <f t="shared" si="9"/>
        <v>-5.193899996811524E-3</v>
      </c>
      <c r="O62">
        <f t="shared" ca="1" si="4"/>
        <v>-7.7404911735219316E-3</v>
      </c>
      <c r="Q62" s="2">
        <f t="shared" si="5"/>
        <v>39033.777900000001</v>
      </c>
    </row>
    <row r="63" spans="1:30">
      <c r="A63" s="50" t="s">
        <v>211</v>
      </c>
      <c r="B63" s="52" t="s">
        <v>38</v>
      </c>
      <c r="C63" s="51">
        <v>54856.026599999997</v>
      </c>
      <c r="D63" s="15"/>
      <c r="E63">
        <f t="shared" si="0"/>
        <v>15586.997245864954</v>
      </c>
      <c r="F63">
        <f t="shared" si="1"/>
        <v>15587</v>
      </c>
      <c r="G63">
        <f t="shared" si="8"/>
        <v>-4.3361999996704981E-3</v>
      </c>
      <c r="K63">
        <f t="shared" si="9"/>
        <v>-4.3361999996704981E-3</v>
      </c>
      <c r="O63">
        <f t="shared" ca="1" si="4"/>
        <v>-8.0160792100435075E-3</v>
      </c>
      <c r="Q63" s="2">
        <f t="shared" si="5"/>
        <v>39837.526599999997</v>
      </c>
    </row>
    <row r="64" spans="1:30">
      <c r="A64" s="50" t="s">
        <v>211</v>
      </c>
      <c r="B64" s="52" t="s">
        <v>38</v>
      </c>
      <c r="C64" s="51">
        <v>55185.073900000003</v>
      </c>
      <c r="D64" s="15"/>
      <c r="E64">
        <f t="shared" si="0"/>
        <v>15795.991457493959</v>
      </c>
      <c r="F64">
        <f t="shared" si="1"/>
        <v>15796</v>
      </c>
      <c r="G64">
        <f t="shared" si="8"/>
        <v>-1.3449599995510653E-2</v>
      </c>
      <c r="K64">
        <f t="shared" si="9"/>
        <v>-1.3449599995510653E-2</v>
      </c>
      <c r="O64">
        <f t="shared" ca="1" si="4"/>
        <v>-8.1289056539867195E-3</v>
      </c>
      <c r="Q64" s="2">
        <f t="shared" si="5"/>
        <v>40166.573900000003</v>
      </c>
    </row>
    <row r="65" spans="1:17">
      <c r="A65" s="50" t="s">
        <v>221</v>
      </c>
      <c r="B65" s="52" t="s">
        <v>235</v>
      </c>
      <c r="C65" s="51">
        <v>55570.028700000003</v>
      </c>
      <c r="D65" s="15"/>
      <c r="E65">
        <f t="shared" si="0"/>
        <v>16040.495287000538</v>
      </c>
      <c r="F65">
        <f t="shared" si="1"/>
        <v>16040.5</v>
      </c>
      <c r="G65">
        <f t="shared" si="8"/>
        <v>-7.4202999967383221E-3</v>
      </c>
      <c r="K65">
        <f t="shared" si="9"/>
        <v>-7.4202999967383221E-3</v>
      </c>
      <c r="O65">
        <f t="shared" ca="1" si="4"/>
        <v>-8.2608963982169353E-3</v>
      </c>
      <c r="Q65" s="2">
        <f t="shared" si="5"/>
        <v>40551.528700000003</v>
      </c>
    </row>
    <row r="66" spans="1:17">
      <c r="A66" s="53" t="s">
        <v>52</v>
      </c>
      <c r="B66" s="54" t="s">
        <v>38</v>
      </c>
      <c r="C66" s="55">
        <v>55882.551570000003</v>
      </c>
      <c r="D66" s="55">
        <v>8.9999999999999998E-4</v>
      </c>
      <c r="E66">
        <f t="shared" si="0"/>
        <v>16238.994016002975</v>
      </c>
      <c r="F66">
        <f t="shared" si="1"/>
        <v>16239</v>
      </c>
      <c r="G66">
        <f t="shared" si="8"/>
        <v>-9.4213999909698032E-3</v>
      </c>
      <c r="K66">
        <f t="shared" si="9"/>
        <v>-9.4213999909698032E-3</v>
      </c>
      <c r="O66">
        <f t="shared" ca="1" si="4"/>
        <v>-8.3680545279907516E-3</v>
      </c>
      <c r="Q66" s="2">
        <f t="shared" si="5"/>
        <v>40864.051570000003</v>
      </c>
    </row>
    <row r="67" spans="1:17">
      <c r="A67" s="53" t="s">
        <v>52</v>
      </c>
      <c r="B67" s="54" t="s">
        <v>38</v>
      </c>
      <c r="C67" s="55">
        <v>55912.463669999997</v>
      </c>
      <c r="D67" s="55">
        <v>1E-3</v>
      </c>
      <c r="E67">
        <f t="shared" si="0"/>
        <v>16257.992669867226</v>
      </c>
      <c r="F67">
        <f t="shared" si="1"/>
        <v>16258</v>
      </c>
      <c r="G67">
        <f t="shared" si="8"/>
        <v>-1.1540799998329021E-2</v>
      </c>
      <c r="K67">
        <f t="shared" si="9"/>
        <v>-1.1540799998329021E-2</v>
      </c>
      <c r="O67">
        <f t="shared" ca="1" si="4"/>
        <v>-8.3783114774401337E-3</v>
      </c>
      <c r="Q67" s="2">
        <f t="shared" si="5"/>
        <v>40893.963669999997</v>
      </c>
    </row>
    <row r="68" spans="1:17">
      <c r="A68" s="50" t="s">
        <v>234</v>
      </c>
      <c r="B68" s="52" t="s">
        <v>38</v>
      </c>
      <c r="C68" s="51">
        <v>57005.123500000002</v>
      </c>
      <c r="D68" s="15"/>
      <c r="E68">
        <f t="shared" si="0"/>
        <v>16951.994959962085</v>
      </c>
      <c r="F68">
        <f t="shared" si="1"/>
        <v>16952</v>
      </c>
      <c r="G68">
        <f t="shared" si="8"/>
        <v>-7.9351999956998043E-3</v>
      </c>
      <c r="K68">
        <f t="shared" si="9"/>
        <v>-7.9351999956998043E-3</v>
      </c>
      <c r="O68">
        <f t="shared" ca="1" si="4"/>
        <v>-8.7529600520649606E-3</v>
      </c>
      <c r="Q68" s="2">
        <f t="shared" si="5"/>
        <v>41986.623500000002</v>
      </c>
    </row>
    <row r="69" spans="1:17">
      <c r="A69" s="56" t="s">
        <v>0</v>
      </c>
      <c r="B69" s="57" t="s">
        <v>38</v>
      </c>
      <c r="C69" s="58">
        <v>57810.443800000001</v>
      </c>
      <c r="D69" s="58">
        <v>4.0000000000000002E-4</v>
      </c>
      <c r="E69">
        <f>+(C69-C$7)/C$8</f>
        <v>17463.493705605437</v>
      </c>
      <c r="F69">
        <f t="shared" si="1"/>
        <v>17463.5</v>
      </c>
      <c r="G69">
        <f>+C69-(C$7+F69*C$8)</f>
        <v>-9.9101000014343299E-3</v>
      </c>
      <c r="K69">
        <f t="shared" si="9"/>
        <v>-9.9101000014343299E-3</v>
      </c>
      <c r="O69">
        <f ca="1">+C$11+C$12*$F69</f>
        <v>-9.029087928031242E-3</v>
      </c>
      <c r="Q69" s="2">
        <f>+C69-15018.5</f>
        <v>42791.943800000001</v>
      </c>
    </row>
    <row r="70" spans="1:17">
      <c r="A70" s="60" t="s">
        <v>236</v>
      </c>
      <c r="B70" s="61" t="s">
        <v>235</v>
      </c>
      <c r="C70" s="62">
        <v>58945.602599999998</v>
      </c>
      <c r="D70" s="62">
        <v>6.9999999999999999E-4</v>
      </c>
      <c r="E70">
        <f>+(C70-C$7)/C$8</f>
        <v>18184.489193122652</v>
      </c>
      <c r="F70">
        <f>ROUND(2*E70,0)/2</f>
        <v>18184.5</v>
      </c>
      <c r="G70">
        <f>+C70-(C$7+F70*C$8)</f>
        <v>-1.7014700002619065E-2</v>
      </c>
      <c r="K70">
        <f>+G70</f>
        <v>-1.7014700002619065E-2</v>
      </c>
      <c r="O70">
        <f ca="1">+C$11+C$12*$F70</f>
        <v>-9.4183121676630864E-3</v>
      </c>
      <c r="Q70" s="2">
        <f>+C70-15018.5</f>
        <v>43927.102599999998</v>
      </c>
    </row>
    <row r="71" spans="1:17" ht="12" customHeight="1">
      <c r="A71" s="63" t="s">
        <v>237</v>
      </c>
      <c r="B71" s="64" t="s">
        <v>235</v>
      </c>
      <c r="C71" s="65">
        <v>58511.066400000003</v>
      </c>
      <c r="D71" s="65" t="s">
        <v>62</v>
      </c>
      <c r="E71">
        <f>+(C71-C$7)/C$8</f>
        <v>17908.493764674338</v>
      </c>
      <c r="F71">
        <f>ROUND(2*E71,0)/2</f>
        <v>17908.5</v>
      </c>
      <c r="G71">
        <f>+C71-(C$7+F71*C$8)</f>
        <v>-9.8170999917783774E-3</v>
      </c>
      <c r="K71">
        <f>+G71</f>
        <v>-9.8170999917783774E-3</v>
      </c>
      <c r="O71">
        <f ca="1">+C$11+C$12*$F71</f>
        <v>-9.2693164809246834E-3</v>
      </c>
      <c r="Q71" s="2">
        <f>+C71-15018.5</f>
        <v>43492.566400000003</v>
      </c>
    </row>
    <row r="72" spans="1:17" ht="12" customHeight="1">
      <c r="A72" s="63" t="s">
        <v>237</v>
      </c>
      <c r="B72" s="64" t="s">
        <v>235</v>
      </c>
      <c r="C72" s="65">
        <v>58511.069799999997</v>
      </c>
      <c r="D72" s="65" t="s">
        <v>220</v>
      </c>
      <c r="E72">
        <f>+(C72-C$7)/C$8</f>
        <v>17908.495924182465</v>
      </c>
      <c r="F72">
        <f>ROUND(2*E72,0)/2</f>
        <v>17908.5</v>
      </c>
      <c r="G72">
        <f>+C72-(C$7+F72*C$8)</f>
        <v>-6.4170999976340681E-3</v>
      </c>
      <c r="K72">
        <f>+G72</f>
        <v>-6.4170999976340681E-3</v>
      </c>
      <c r="O72">
        <f ca="1">+C$11+C$12*$F72</f>
        <v>-9.2693164809246834E-3</v>
      </c>
      <c r="Q72" s="2">
        <f>+C72-15018.5</f>
        <v>43492.569799999997</v>
      </c>
    </row>
    <row r="73" spans="1:17" ht="12" customHeight="1">
      <c r="A73" s="63" t="s">
        <v>237</v>
      </c>
      <c r="B73" s="64" t="s">
        <v>235</v>
      </c>
      <c r="C73" s="65">
        <v>58511.07</v>
      </c>
      <c r="D73" s="65" t="s">
        <v>35</v>
      </c>
      <c r="E73">
        <f>+(C73-C$7)/C$8</f>
        <v>17908.496051212354</v>
      </c>
      <c r="F73">
        <f>ROUND(2*E73,0)/2</f>
        <v>17908.5</v>
      </c>
      <c r="G73">
        <f>+C73-(C$7+F73*C$8)</f>
        <v>-6.2170999954105355E-3</v>
      </c>
      <c r="K73">
        <f>+G73</f>
        <v>-6.2170999954105355E-3</v>
      </c>
      <c r="O73">
        <f ca="1">+C$11+C$12*$F73</f>
        <v>-9.2693164809246834E-3</v>
      </c>
      <c r="Q73" s="2">
        <f>+C73-15018.5</f>
        <v>43492.57</v>
      </c>
    </row>
    <row r="74" spans="1:17" ht="12" customHeight="1">
      <c r="A74" s="66" t="s">
        <v>238</v>
      </c>
      <c r="B74" s="67" t="s">
        <v>38</v>
      </c>
      <c r="C74" s="68">
        <v>58945.602599999998</v>
      </c>
      <c r="D74" s="66">
        <v>6.9999999999999999E-4</v>
      </c>
      <c r="E74">
        <f t="shared" ref="E74:E76" si="10">+(C74-C$7)/C$8</f>
        <v>18184.489193122652</v>
      </c>
      <c r="F74">
        <f t="shared" ref="F74:F76" si="11">ROUND(2*E74,0)/2</f>
        <v>18184.5</v>
      </c>
      <c r="G74">
        <f t="shared" ref="G74:G76" si="12">+C74-(C$7+F74*C$8)</f>
        <v>-1.7014700002619065E-2</v>
      </c>
      <c r="K74">
        <f t="shared" ref="K74:K76" si="13">+G74</f>
        <v>-1.7014700002619065E-2</v>
      </c>
      <c r="O74">
        <f t="shared" ref="O74:O76" ca="1" si="14">+C$11+C$12*$F74</f>
        <v>-9.4183121676630864E-3</v>
      </c>
      <c r="Q74" s="2">
        <f t="shared" ref="Q74:Q76" si="15">+C74-15018.5</f>
        <v>43927.102599999998</v>
      </c>
    </row>
    <row r="75" spans="1:17" ht="12" customHeight="1">
      <c r="A75" s="66" t="s">
        <v>239</v>
      </c>
      <c r="B75" s="67" t="s">
        <v>38</v>
      </c>
      <c r="C75" s="68">
        <v>59569.090100000147</v>
      </c>
      <c r="D75" s="66" t="s">
        <v>220</v>
      </c>
      <c r="E75">
        <f t="shared" si="10"/>
        <v>18580.496935848601</v>
      </c>
      <c r="F75">
        <f t="shared" si="11"/>
        <v>18580.5</v>
      </c>
      <c r="G75">
        <f t="shared" si="12"/>
        <v>-4.8242998527712189E-3</v>
      </c>
      <c r="K75">
        <f t="shared" si="13"/>
        <v>-4.8242998527712189E-3</v>
      </c>
      <c r="O75">
        <f t="shared" ca="1" si="14"/>
        <v>-9.6320885877660134E-3</v>
      </c>
      <c r="Q75" s="2">
        <f t="shared" si="15"/>
        <v>44550.590100000147</v>
      </c>
    </row>
    <row r="76" spans="1:17" ht="12" customHeight="1">
      <c r="A76" s="66" t="s">
        <v>240</v>
      </c>
      <c r="B76" s="67" t="s">
        <v>235</v>
      </c>
      <c r="C76" s="68">
        <v>59656.466</v>
      </c>
      <c r="D76" s="66">
        <v>7.0000000000000001E-3</v>
      </c>
      <c r="E76">
        <f t="shared" si="10"/>
        <v>18635.993690679425</v>
      </c>
      <c r="F76">
        <f t="shared" si="11"/>
        <v>18636</v>
      </c>
      <c r="G76">
        <f t="shared" si="12"/>
        <v>-9.9335999984759837E-3</v>
      </c>
      <c r="K76">
        <f t="shared" si="13"/>
        <v>-9.9335999984759837E-3</v>
      </c>
      <c r="O76">
        <f t="shared" ca="1" si="14"/>
        <v>-9.6620496769471067E-3</v>
      </c>
      <c r="Q76" s="2">
        <f t="shared" si="15"/>
        <v>44637.966</v>
      </c>
    </row>
    <row r="77" spans="1:17" ht="12" customHeight="1">
      <c r="B77" s="6"/>
      <c r="C77" s="15"/>
      <c r="D77" s="15"/>
    </row>
    <row r="78" spans="1:17" ht="12" customHeight="1">
      <c r="B78" s="6"/>
      <c r="C78" s="15"/>
      <c r="D78" s="15"/>
    </row>
    <row r="79" spans="1:17" ht="12" customHeight="1">
      <c r="B79" s="6"/>
      <c r="C79" s="15"/>
      <c r="D79" s="15"/>
    </row>
    <row r="80" spans="1:17" ht="12" customHeight="1">
      <c r="B80" s="6"/>
      <c r="C80" s="15"/>
      <c r="D80" s="15"/>
    </row>
    <row r="81" spans="2:4" ht="12" customHeight="1">
      <c r="B81" s="6"/>
      <c r="C81" s="15"/>
      <c r="D81" s="15"/>
    </row>
    <row r="82" spans="2:4">
      <c r="B82" s="6"/>
      <c r="C82" s="15"/>
      <c r="D82" s="15"/>
    </row>
    <row r="83" spans="2:4">
      <c r="B83" s="6"/>
      <c r="C83" s="15"/>
      <c r="D83" s="15"/>
    </row>
    <row r="84" spans="2:4">
      <c r="B84" s="6"/>
      <c r="C84" s="15"/>
      <c r="D84" s="15"/>
    </row>
    <row r="85" spans="2:4">
      <c r="B85" s="6"/>
      <c r="C85" s="15"/>
      <c r="D85" s="15"/>
    </row>
    <row r="86" spans="2:4">
      <c r="B86" s="6"/>
      <c r="C86" s="15"/>
      <c r="D86" s="15"/>
    </row>
    <row r="87" spans="2:4">
      <c r="B87" s="6"/>
      <c r="C87" s="15"/>
      <c r="D87" s="15"/>
    </row>
    <row r="88" spans="2:4">
      <c r="B88" s="6"/>
      <c r="C88" s="15"/>
      <c r="D88" s="15"/>
    </row>
    <row r="89" spans="2:4">
      <c r="B89" s="6"/>
      <c r="C89" s="15"/>
      <c r="D89" s="15"/>
    </row>
    <row r="90" spans="2:4">
      <c r="B90" s="6"/>
      <c r="C90" s="15"/>
      <c r="D90" s="15"/>
    </row>
    <row r="91" spans="2:4">
      <c r="B91" s="6"/>
      <c r="C91" s="15"/>
      <c r="D91" s="15"/>
    </row>
    <row r="92" spans="2:4">
      <c r="B92" s="6"/>
      <c r="C92" s="15"/>
      <c r="D92" s="15"/>
    </row>
    <row r="93" spans="2:4">
      <c r="B93" s="6"/>
      <c r="C93" s="15"/>
      <c r="D93" s="15"/>
    </row>
    <row r="94" spans="2:4">
      <c r="B94" s="6"/>
      <c r="C94" s="15"/>
      <c r="D94" s="15"/>
    </row>
    <row r="95" spans="2:4">
      <c r="B95" s="6"/>
      <c r="C95" s="15"/>
      <c r="D95" s="15"/>
    </row>
    <row r="96" spans="2:4">
      <c r="B96" s="6"/>
      <c r="C96" s="15"/>
      <c r="D96" s="15"/>
    </row>
    <row r="97" spans="2:4">
      <c r="B97" s="6"/>
      <c r="C97" s="15"/>
      <c r="D97" s="15"/>
    </row>
    <row r="98" spans="2:4">
      <c r="B98" s="6"/>
      <c r="C98" s="15"/>
      <c r="D98" s="15"/>
    </row>
    <row r="99" spans="2:4">
      <c r="B99" s="6"/>
      <c r="C99" s="15"/>
      <c r="D99" s="15"/>
    </row>
    <row r="100" spans="2:4">
      <c r="B100" s="6"/>
      <c r="C100" s="15"/>
      <c r="D100" s="15"/>
    </row>
    <row r="101" spans="2:4">
      <c r="B101" s="6"/>
      <c r="C101" s="15"/>
      <c r="D101" s="15"/>
    </row>
    <row r="102" spans="2:4">
      <c r="B102" s="6"/>
      <c r="C102" s="15"/>
      <c r="D102" s="15"/>
    </row>
    <row r="103" spans="2:4">
      <c r="B103" s="6"/>
      <c r="C103" s="15"/>
      <c r="D103" s="15"/>
    </row>
    <row r="104" spans="2:4">
      <c r="B104" s="6"/>
      <c r="C104" s="15"/>
      <c r="D104" s="15"/>
    </row>
    <row r="105" spans="2:4">
      <c r="C105" s="15"/>
      <c r="D105" s="15"/>
    </row>
    <row r="106" spans="2:4">
      <c r="C106" s="15"/>
      <c r="D106" s="15"/>
    </row>
    <row r="107" spans="2:4">
      <c r="C107" s="15"/>
      <c r="D107" s="15"/>
    </row>
    <row r="108" spans="2:4">
      <c r="C108" s="15"/>
      <c r="D108" s="15"/>
    </row>
    <row r="109" spans="2:4">
      <c r="C109" s="15"/>
      <c r="D109" s="15"/>
    </row>
    <row r="110" spans="2:4">
      <c r="C110" s="15"/>
      <c r="D110" s="15"/>
    </row>
    <row r="111" spans="2:4">
      <c r="C111" s="15"/>
      <c r="D111" s="15"/>
    </row>
    <row r="112" spans="2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</sheetData>
  <protectedRanges>
    <protectedRange sqref="A70:D73" name="Range1"/>
  </protectedRanges>
  <phoneticPr fontId="8" type="noConversion"/>
  <hyperlinks>
    <hyperlink ref="H63732" r:id="rId1" display="http://vsolj.cetus-net.org/bulletin.html"/>
    <hyperlink ref="H63725" r:id="rId2" display="https://www.aavso.org/ejaavso"/>
    <hyperlink ref="I63732" r:id="rId3" display="http://vsolj.cetus-net.org/bulletin.html"/>
    <hyperlink ref="AQ57383" r:id="rId4" display="http://cdsbib.u-strasbg.fr/cgi-bin/cdsbib?1990RMxAA..21..381G"/>
    <hyperlink ref="H63729" r:id="rId5" display="https://www.aavso.org/ejaavso"/>
    <hyperlink ref="AP4747" r:id="rId6" display="http://cdsbib.u-strasbg.fr/cgi-bin/cdsbib?1990RMxAA..21..381G"/>
    <hyperlink ref="AP4750" r:id="rId7" display="http://cdsbib.u-strasbg.fr/cgi-bin/cdsbib?1990RMxAA..21..381G"/>
    <hyperlink ref="AP4748" r:id="rId8" display="http://cdsbib.u-strasbg.fr/cgi-bin/cdsbib?1990RMxAA..21..381G"/>
    <hyperlink ref="AP4732" r:id="rId9" display="http://cdsbib.u-strasbg.fr/cgi-bin/cdsbib?1990RMxAA..21..381G"/>
    <hyperlink ref="AQ4961" r:id="rId10" display="http://cdsbib.u-strasbg.fr/cgi-bin/cdsbib?1990RMxAA..21..381G"/>
    <hyperlink ref="AQ4965" r:id="rId11" display="http://cdsbib.u-strasbg.fr/cgi-bin/cdsbib?1990RMxAA..21..381G"/>
    <hyperlink ref="AQ64645" r:id="rId12" display="http://cdsbib.u-strasbg.fr/cgi-bin/cdsbib?1990RMxAA..21..381G"/>
    <hyperlink ref="I1853" r:id="rId13" display="http://vsolj.cetus-net.org/bulletin.html"/>
    <hyperlink ref="H1853" r:id="rId14" display="http://vsolj.cetus-net.org/bulletin.html"/>
    <hyperlink ref="AQ65306" r:id="rId15" display="http://cdsbib.u-strasbg.fr/cgi-bin/cdsbib?1990RMxAA..21..381G"/>
    <hyperlink ref="AQ65305" r:id="rId16" display="http://cdsbib.u-strasbg.fr/cgi-bin/cdsbib?1990RMxAA..21..381G"/>
    <hyperlink ref="AP3023" r:id="rId17" display="http://cdsbib.u-strasbg.fr/cgi-bin/cdsbib?1990RMxAA..21..381G"/>
    <hyperlink ref="AP3041" r:id="rId18" display="http://cdsbib.u-strasbg.fr/cgi-bin/cdsbib?1990RMxAA..21..381G"/>
    <hyperlink ref="AP3042" r:id="rId19" display="http://cdsbib.u-strasbg.fr/cgi-bin/cdsbib?1990RMxAA..21..381G"/>
    <hyperlink ref="AP303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topLeftCell="A5" workbookViewId="0">
      <selection activeCell="A16" sqref="A16:C57"/>
    </sheetView>
  </sheetViews>
  <sheetFormatPr defaultRowHeight="12.75"/>
  <cols>
    <col min="1" max="1" width="19.7109375" style="15" customWidth="1"/>
    <col min="2" max="2" width="4.42578125" style="19" customWidth="1"/>
    <col min="3" max="3" width="12.7109375" style="1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37" t="s">
        <v>54</v>
      </c>
      <c r="I1" s="38" t="s">
        <v>55</v>
      </c>
      <c r="J1" s="39" t="s">
        <v>51</v>
      </c>
    </row>
    <row r="2" spans="1:16">
      <c r="I2" s="40" t="s">
        <v>56</v>
      </c>
      <c r="J2" s="41" t="s">
        <v>57</v>
      </c>
    </row>
    <row r="3" spans="1:16">
      <c r="A3" s="42" t="s">
        <v>58</v>
      </c>
      <c r="I3" s="40" t="s">
        <v>59</v>
      </c>
      <c r="J3" s="41" t="s">
        <v>60</v>
      </c>
    </row>
    <row r="4" spans="1:16">
      <c r="I4" s="40" t="s">
        <v>61</v>
      </c>
      <c r="J4" s="41" t="s">
        <v>60</v>
      </c>
    </row>
    <row r="5" spans="1:16" ht="13.5" thickBot="1">
      <c r="I5" s="43" t="s">
        <v>62</v>
      </c>
      <c r="J5" s="44" t="s">
        <v>63</v>
      </c>
    </row>
    <row r="10" spans="1:16" ht="13.5" thickBot="1"/>
    <row r="11" spans="1:16" ht="12.75" customHeight="1" thickBot="1">
      <c r="A11" s="15" t="str">
        <f t="shared" ref="A11:A57" si="0">P11</f>
        <v> BBS 21 </v>
      </c>
      <c r="B11" s="6" t="str">
        <f t="shared" ref="B11:B57" si="1">IF(H11=INT(H11),"I","II")</f>
        <v>II</v>
      </c>
      <c r="C11" s="15">
        <f t="shared" ref="C11:C57" si="2">1*G11</f>
        <v>42469.315999999999</v>
      </c>
      <c r="D11" s="19" t="str">
        <f t="shared" ref="D11:D57" si="3">VLOOKUP(F11,I$1:J$5,2,FALSE)</f>
        <v>vis</v>
      </c>
      <c r="E11" s="45">
        <f>VLOOKUP(C11,Active!C$21:E$972,3,FALSE)</f>
        <v>7719.5848205887005</v>
      </c>
      <c r="F11" s="6" t="s">
        <v>62</v>
      </c>
      <c r="G11" s="19" t="str">
        <f t="shared" ref="G11:G57" si="4">MID(I11,3,LEN(I11)-3)</f>
        <v>42469.316</v>
      </c>
      <c r="H11" s="15">
        <f t="shared" ref="H11:H57" si="5">1*K11</f>
        <v>7719.5</v>
      </c>
      <c r="I11" s="46" t="s">
        <v>168</v>
      </c>
      <c r="J11" s="47" t="s">
        <v>169</v>
      </c>
      <c r="K11" s="46">
        <v>7719.5</v>
      </c>
      <c r="L11" s="46" t="s">
        <v>170</v>
      </c>
      <c r="M11" s="47" t="s">
        <v>171</v>
      </c>
      <c r="N11" s="47"/>
      <c r="O11" s="48" t="s">
        <v>172</v>
      </c>
      <c r="P11" s="48" t="s">
        <v>173</v>
      </c>
    </row>
    <row r="12" spans="1:16" ht="12.75" customHeight="1" thickBot="1">
      <c r="A12" s="15" t="str">
        <f t="shared" si="0"/>
        <v>IBVS 5595 </v>
      </c>
      <c r="B12" s="6" t="str">
        <f t="shared" si="1"/>
        <v>I</v>
      </c>
      <c r="C12" s="15">
        <f t="shared" si="2"/>
        <v>53081.639600000002</v>
      </c>
      <c r="D12" s="19" t="str">
        <f t="shared" si="3"/>
        <v>vis</v>
      </c>
      <c r="E12" s="45">
        <f>VLOOKUP(C12,Active!C$21:E$972,3,FALSE)</f>
        <v>14459.99631867379</v>
      </c>
      <c r="F12" s="6" t="s">
        <v>62</v>
      </c>
      <c r="G12" s="19" t="str">
        <f t="shared" si="4"/>
        <v>53081.6396</v>
      </c>
      <c r="H12" s="15">
        <f t="shared" si="5"/>
        <v>14460</v>
      </c>
      <c r="I12" s="46" t="s">
        <v>190</v>
      </c>
      <c r="J12" s="47" t="s">
        <v>191</v>
      </c>
      <c r="K12" s="46">
        <v>14460</v>
      </c>
      <c r="L12" s="46" t="s">
        <v>192</v>
      </c>
      <c r="M12" s="47" t="s">
        <v>181</v>
      </c>
      <c r="N12" s="47" t="s">
        <v>193</v>
      </c>
      <c r="O12" s="48" t="s">
        <v>194</v>
      </c>
      <c r="P12" s="49" t="s">
        <v>195</v>
      </c>
    </row>
    <row r="13" spans="1:16" ht="12.75" customHeight="1" thickBot="1">
      <c r="A13" s="15" t="str">
        <f t="shared" si="0"/>
        <v>OEJV 0074 </v>
      </c>
      <c r="B13" s="6" t="str">
        <f t="shared" si="1"/>
        <v>I</v>
      </c>
      <c r="C13" s="15">
        <f t="shared" si="2"/>
        <v>53796.434139999998</v>
      </c>
      <c r="D13" s="19" t="str">
        <f t="shared" si="3"/>
        <v>vis</v>
      </c>
      <c r="E13" s="45">
        <f>VLOOKUP(C13,Active!C$21:E$972,3,FALSE)</f>
        <v>14913.997677639551</v>
      </c>
      <c r="F13" s="6" t="s">
        <v>62</v>
      </c>
      <c r="G13" s="19" t="str">
        <f t="shared" si="4"/>
        <v>53796.43414</v>
      </c>
      <c r="H13" s="15">
        <f t="shared" si="5"/>
        <v>14914</v>
      </c>
      <c r="I13" s="46" t="s">
        <v>196</v>
      </c>
      <c r="J13" s="47" t="s">
        <v>197</v>
      </c>
      <c r="K13" s="46">
        <v>14914</v>
      </c>
      <c r="L13" s="46" t="s">
        <v>198</v>
      </c>
      <c r="M13" s="47" t="s">
        <v>199</v>
      </c>
      <c r="N13" s="47" t="s">
        <v>38</v>
      </c>
      <c r="O13" s="48" t="s">
        <v>200</v>
      </c>
      <c r="P13" s="49" t="s">
        <v>201</v>
      </c>
    </row>
    <row r="14" spans="1:16" ht="12.75" customHeight="1" thickBot="1">
      <c r="A14" s="15" t="str">
        <f t="shared" si="0"/>
        <v>OEJV 0160 </v>
      </c>
      <c r="B14" s="6" t="str">
        <f t="shared" si="1"/>
        <v>I</v>
      </c>
      <c r="C14" s="15">
        <f t="shared" si="2"/>
        <v>55882.551570000003</v>
      </c>
      <c r="D14" s="19" t="str">
        <f t="shared" si="3"/>
        <v>vis</v>
      </c>
      <c r="E14" s="45">
        <f>VLOOKUP(C14,Active!C$21:E$972,3,FALSE)</f>
        <v>16238.994016002975</v>
      </c>
      <c r="F14" s="6" t="s">
        <v>62</v>
      </c>
      <c r="G14" s="19" t="str">
        <f t="shared" si="4"/>
        <v>55882.55157</v>
      </c>
      <c r="H14" s="15">
        <f t="shared" si="5"/>
        <v>16239</v>
      </c>
      <c r="I14" s="46" t="s">
        <v>222</v>
      </c>
      <c r="J14" s="47" t="s">
        <v>223</v>
      </c>
      <c r="K14" s="46">
        <v>16239</v>
      </c>
      <c r="L14" s="46" t="s">
        <v>224</v>
      </c>
      <c r="M14" s="47" t="s">
        <v>199</v>
      </c>
      <c r="N14" s="47" t="s">
        <v>55</v>
      </c>
      <c r="O14" s="48" t="s">
        <v>225</v>
      </c>
      <c r="P14" s="49" t="s">
        <v>226</v>
      </c>
    </row>
    <row r="15" spans="1:16" ht="12.75" customHeight="1" thickBot="1">
      <c r="A15" s="15" t="str">
        <f t="shared" si="0"/>
        <v>OEJV 0160 </v>
      </c>
      <c r="B15" s="6" t="str">
        <f t="shared" si="1"/>
        <v>I</v>
      </c>
      <c r="C15" s="15">
        <f t="shared" si="2"/>
        <v>55912.463669999997</v>
      </c>
      <c r="D15" s="19" t="str">
        <f t="shared" si="3"/>
        <v>vis</v>
      </c>
      <c r="E15" s="45">
        <f>VLOOKUP(C15,Active!C$21:E$972,3,FALSE)</f>
        <v>16257.992669867226</v>
      </c>
      <c r="F15" s="6" t="s">
        <v>62</v>
      </c>
      <c r="G15" s="19" t="str">
        <f t="shared" si="4"/>
        <v>55912.46367</v>
      </c>
      <c r="H15" s="15">
        <f t="shared" si="5"/>
        <v>16258</v>
      </c>
      <c r="I15" s="46" t="s">
        <v>227</v>
      </c>
      <c r="J15" s="47" t="s">
        <v>228</v>
      </c>
      <c r="K15" s="46">
        <v>16258</v>
      </c>
      <c r="L15" s="46" t="s">
        <v>229</v>
      </c>
      <c r="M15" s="47" t="s">
        <v>199</v>
      </c>
      <c r="N15" s="47" t="s">
        <v>55</v>
      </c>
      <c r="O15" s="48" t="s">
        <v>230</v>
      </c>
      <c r="P15" s="49" t="s">
        <v>226</v>
      </c>
    </row>
    <row r="16" spans="1:16" ht="12.75" customHeight="1" thickBot="1">
      <c r="A16" s="15" t="str">
        <f t="shared" si="0"/>
        <v> AHSB 7.8.408 </v>
      </c>
      <c r="B16" s="6" t="str">
        <f t="shared" si="1"/>
        <v>II</v>
      </c>
      <c r="C16" s="15">
        <f t="shared" si="2"/>
        <v>29634.449000000001</v>
      </c>
      <c r="D16" s="19" t="str">
        <f t="shared" si="3"/>
        <v>vis</v>
      </c>
      <c r="E16" s="45">
        <f>VLOOKUP(C16,Active!C$21:E$972,3,FALSE)</f>
        <v>-432.47389567517723</v>
      </c>
      <c r="F16" s="6" t="s">
        <v>62</v>
      </c>
      <c r="G16" s="19" t="str">
        <f t="shared" si="4"/>
        <v>29634.449</v>
      </c>
      <c r="H16" s="15">
        <f t="shared" si="5"/>
        <v>-432.5</v>
      </c>
      <c r="I16" s="46" t="s">
        <v>66</v>
      </c>
      <c r="J16" s="47" t="s">
        <v>67</v>
      </c>
      <c r="K16" s="46">
        <v>-432.5</v>
      </c>
      <c r="L16" s="46" t="s">
        <v>68</v>
      </c>
      <c r="M16" s="47" t="s">
        <v>69</v>
      </c>
      <c r="N16" s="47"/>
      <c r="O16" s="48" t="s">
        <v>70</v>
      </c>
      <c r="P16" s="48" t="s">
        <v>71</v>
      </c>
    </row>
    <row r="17" spans="1:16" ht="12.75" customHeight="1" thickBot="1">
      <c r="A17" s="15" t="str">
        <f t="shared" si="0"/>
        <v> AHSB 7.8.408 </v>
      </c>
      <c r="B17" s="6" t="str">
        <f t="shared" si="1"/>
        <v>II</v>
      </c>
      <c r="C17" s="15">
        <f t="shared" si="2"/>
        <v>29727.332999999999</v>
      </c>
      <c r="D17" s="19" t="str">
        <f t="shared" si="3"/>
        <v>vis</v>
      </c>
      <c r="E17" s="45">
        <f>VLOOKUP(C17,Active!C$21:E$972,3,FALSE)</f>
        <v>-373.47867415855075</v>
      </c>
      <c r="F17" s="6" t="s">
        <v>62</v>
      </c>
      <c r="G17" s="19" t="str">
        <f t="shared" si="4"/>
        <v>29727.333</v>
      </c>
      <c r="H17" s="15">
        <f t="shared" si="5"/>
        <v>-373.5</v>
      </c>
      <c r="I17" s="46" t="s">
        <v>72</v>
      </c>
      <c r="J17" s="47" t="s">
        <v>73</v>
      </c>
      <c r="K17" s="46">
        <v>-373.5</v>
      </c>
      <c r="L17" s="46" t="s">
        <v>74</v>
      </c>
      <c r="M17" s="47" t="s">
        <v>69</v>
      </c>
      <c r="N17" s="47"/>
      <c r="O17" s="48" t="s">
        <v>70</v>
      </c>
      <c r="P17" s="48" t="s">
        <v>71</v>
      </c>
    </row>
    <row r="18" spans="1:16" ht="12.75" customHeight="1" thickBot="1">
      <c r="A18" s="15" t="str">
        <f t="shared" si="0"/>
        <v> AOLD 20.205 </v>
      </c>
      <c r="B18" s="6" t="str">
        <f t="shared" si="1"/>
        <v>II</v>
      </c>
      <c r="C18" s="15">
        <f t="shared" si="2"/>
        <v>29757.22</v>
      </c>
      <c r="D18" s="19" t="str">
        <f t="shared" si="3"/>
        <v>vis</v>
      </c>
      <c r="E18" s="45">
        <f>VLOOKUP(C18,Active!C$21:E$972,3,FALSE)</f>
        <v>-354.49596254548936</v>
      </c>
      <c r="F18" s="6" t="s">
        <v>62</v>
      </c>
      <c r="G18" s="19" t="str">
        <f t="shared" si="4"/>
        <v>29757.22</v>
      </c>
      <c r="H18" s="15">
        <f t="shared" si="5"/>
        <v>-354.5</v>
      </c>
      <c r="I18" s="46" t="s">
        <v>75</v>
      </c>
      <c r="J18" s="47" t="s">
        <v>76</v>
      </c>
      <c r="K18" s="46">
        <v>-354.5</v>
      </c>
      <c r="L18" s="46" t="s">
        <v>77</v>
      </c>
      <c r="M18" s="47" t="s">
        <v>69</v>
      </c>
      <c r="N18" s="47"/>
      <c r="O18" s="48" t="s">
        <v>78</v>
      </c>
      <c r="P18" s="48" t="s">
        <v>79</v>
      </c>
    </row>
    <row r="19" spans="1:16" ht="12.75" customHeight="1" thickBot="1">
      <c r="A19" s="15" t="str">
        <f t="shared" si="0"/>
        <v> AOLD 20.205 </v>
      </c>
      <c r="B19" s="6" t="str">
        <f t="shared" si="1"/>
        <v>I</v>
      </c>
      <c r="C19" s="15">
        <f t="shared" si="2"/>
        <v>30000.48</v>
      </c>
      <c r="D19" s="19" t="str">
        <f t="shared" si="3"/>
        <v>vis</v>
      </c>
      <c r="E19" s="45">
        <f>VLOOKUP(C19,Active!C$21:E$972,3,FALSE)</f>
        <v>-199.98950733108487</v>
      </c>
      <c r="F19" s="6" t="s">
        <v>62</v>
      </c>
      <c r="G19" s="19" t="str">
        <f t="shared" si="4"/>
        <v>30000.48</v>
      </c>
      <c r="H19" s="15">
        <f t="shared" si="5"/>
        <v>-200</v>
      </c>
      <c r="I19" s="46" t="s">
        <v>80</v>
      </c>
      <c r="J19" s="47" t="s">
        <v>81</v>
      </c>
      <c r="K19" s="46">
        <v>-200</v>
      </c>
      <c r="L19" s="46" t="s">
        <v>82</v>
      </c>
      <c r="M19" s="47" t="s">
        <v>69</v>
      </c>
      <c r="N19" s="47"/>
      <c r="O19" s="48" t="s">
        <v>78</v>
      </c>
      <c r="P19" s="48" t="s">
        <v>79</v>
      </c>
    </row>
    <row r="20" spans="1:16" ht="12.75" customHeight="1" thickBot="1">
      <c r="A20" s="15" t="str">
        <f t="shared" si="0"/>
        <v> AOLD 20.205 </v>
      </c>
      <c r="B20" s="6" t="str">
        <f t="shared" si="1"/>
        <v>I</v>
      </c>
      <c r="C20" s="15">
        <f t="shared" si="2"/>
        <v>30049.279999999999</v>
      </c>
      <c r="D20" s="19" t="str">
        <f t="shared" si="3"/>
        <v>vis</v>
      </c>
      <c r="E20" s="45">
        <f>VLOOKUP(C20,Active!C$21:E$972,3,FALSE)</f>
        <v>-168.9942141695997</v>
      </c>
      <c r="F20" s="6" t="s">
        <v>62</v>
      </c>
      <c r="G20" s="19" t="str">
        <f t="shared" si="4"/>
        <v>30049.28</v>
      </c>
      <c r="H20" s="15">
        <f t="shared" si="5"/>
        <v>-169</v>
      </c>
      <c r="I20" s="46" t="s">
        <v>83</v>
      </c>
      <c r="J20" s="47" t="s">
        <v>84</v>
      </c>
      <c r="K20" s="46">
        <v>-169</v>
      </c>
      <c r="L20" s="46" t="s">
        <v>77</v>
      </c>
      <c r="M20" s="47" t="s">
        <v>69</v>
      </c>
      <c r="N20" s="47"/>
      <c r="O20" s="48" t="s">
        <v>78</v>
      </c>
      <c r="P20" s="48" t="s">
        <v>79</v>
      </c>
    </row>
    <row r="21" spans="1:16" ht="12.75" customHeight="1" thickBot="1">
      <c r="A21" s="15" t="str">
        <f t="shared" si="0"/>
        <v> AOLD 20.205 </v>
      </c>
      <c r="B21" s="6" t="str">
        <f t="shared" si="1"/>
        <v>II</v>
      </c>
      <c r="C21" s="15">
        <f t="shared" si="2"/>
        <v>30075.26</v>
      </c>
      <c r="D21" s="19" t="str">
        <f t="shared" si="3"/>
        <v>vis</v>
      </c>
      <c r="E21" s="45">
        <f>VLOOKUP(C21,Active!C$21:E$972,3,FALSE)</f>
        <v>-152.49303145780908</v>
      </c>
      <c r="F21" s="6" t="s">
        <v>62</v>
      </c>
      <c r="G21" s="19" t="str">
        <f t="shared" si="4"/>
        <v>30075.26</v>
      </c>
      <c r="H21" s="15">
        <f t="shared" si="5"/>
        <v>-152.5</v>
      </c>
      <c r="I21" s="46" t="s">
        <v>85</v>
      </c>
      <c r="J21" s="47" t="s">
        <v>86</v>
      </c>
      <c r="K21" s="46">
        <v>-152.5</v>
      </c>
      <c r="L21" s="46" t="s">
        <v>77</v>
      </c>
      <c r="M21" s="47" t="s">
        <v>69</v>
      </c>
      <c r="N21" s="47"/>
      <c r="O21" s="48" t="s">
        <v>78</v>
      </c>
      <c r="P21" s="48" t="s">
        <v>79</v>
      </c>
    </row>
    <row r="22" spans="1:16" ht="12.75" customHeight="1" thickBot="1">
      <c r="A22" s="15" t="str">
        <f t="shared" si="0"/>
        <v> AHSB 7.8.408 </v>
      </c>
      <c r="B22" s="6" t="str">
        <f t="shared" si="1"/>
        <v>II</v>
      </c>
      <c r="C22" s="15">
        <f t="shared" si="2"/>
        <v>30078.366000000002</v>
      </c>
      <c r="D22" s="19" t="str">
        <f t="shared" si="3"/>
        <v>vis</v>
      </c>
      <c r="E22" s="45">
        <f>VLOOKUP(C22,Active!C$21:E$972,3,FALSE)</f>
        <v>-150.52025726601238</v>
      </c>
      <c r="F22" s="6" t="s">
        <v>62</v>
      </c>
      <c r="G22" s="19" t="str">
        <f t="shared" si="4"/>
        <v>30078.366</v>
      </c>
      <c r="H22" s="15">
        <f t="shared" si="5"/>
        <v>-150.5</v>
      </c>
      <c r="I22" s="46" t="s">
        <v>87</v>
      </c>
      <c r="J22" s="47" t="s">
        <v>88</v>
      </c>
      <c r="K22" s="46">
        <v>-150.5</v>
      </c>
      <c r="L22" s="46" t="s">
        <v>89</v>
      </c>
      <c r="M22" s="47" t="s">
        <v>69</v>
      </c>
      <c r="N22" s="47"/>
      <c r="O22" s="48" t="s">
        <v>70</v>
      </c>
      <c r="P22" s="48" t="s">
        <v>71</v>
      </c>
    </row>
    <row r="23" spans="1:16" ht="12.75" customHeight="1" thickBot="1">
      <c r="A23" s="15" t="str">
        <f t="shared" si="0"/>
        <v> AOLD 20.205 </v>
      </c>
      <c r="B23" s="6" t="str">
        <f t="shared" si="1"/>
        <v>I</v>
      </c>
      <c r="C23" s="15">
        <f t="shared" si="2"/>
        <v>30101.24</v>
      </c>
      <c r="D23" s="19" t="str">
        <f t="shared" si="3"/>
        <v>vis</v>
      </c>
      <c r="E23" s="45">
        <f>VLOOKUP(C23,Active!C$21:E$972,3,FALSE)</f>
        <v>-135.99184874601616</v>
      </c>
      <c r="F23" s="6" t="s">
        <v>62</v>
      </c>
      <c r="G23" s="19" t="str">
        <f t="shared" si="4"/>
        <v>30101.24</v>
      </c>
      <c r="H23" s="15">
        <f t="shared" si="5"/>
        <v>-136</v>
      </c>
      <c r="I23" s="46" t="s">
        <v>90</v>
      </c>
      <c r="J23" s="47" t="s">
        <v>91</v>
      </c>
      <c r="K23" s="46">
        <v>-136</v>
      </c>
      <c r="L23" s="46" t="s">
        <v>77</v>
      </c>
      <c r="M23" s="47" t="s">
        <v>69</v>
      </c>
      <c r="N23" s="47"/>
      <c r="O23" s="48" t="s">
        <v>78</v>
      </c>
      <c r="P23" s="48" t="s">
        <v>79</v>
      </c>
    </row>
    <row r="24" spans="1:16" ht="12.75" customHeight="1" thickBot="1">
      <c r="A24" s="15" t="str">
        <f t="shared" si="0"/>
        <v> AOLD 20.205 </v>
      </c>
      <c r="B24" s="6" t="str">
        <f t="shared" si="1"/>
        <v>II</v>
      </c>
      <c r="C24" s="15">
        <f t="shared" si="2"/>
        <v>30314.48</v>
      </c>
      <c r="D24" s="19" t="str">
        <f t="shared" si="3"/>
        <v>vis</v>
      </c>
      <c r="E24" s="45">
        <f>VLOOKUP(C24,Active!C$21:E$972,3,FALSE)</f>
        <v>-0.55258002152583818</v>
      </c>
      <c r="F24" s="6" t="s">
        <v>62</v>
      </c>
      <c r="G24" s="19" t="str">
        <f t="shared" si="4"/>
        <v>30314.48</v>
      </c>
      <c r="H24" s="15">
        <f t="shared" si="5"/>
        <v>-0.5</v>
      </c>
      <c r="I24" s="46" t="s">
        <v>92</v>
      </c>
      <c r="J24" s="47" t="s">
        <v>93</v>
      </c>
      <c r="K24" s="46">
        <v>-0.5</v>
      </c>
      <c r="L24" s="46" t="s">
        <v>94</v>
      </c>
      <c r="M24" s="47" t="s">
        <v>69</v>
      </c>
      <c r="N24" s="47"/>
      <c r="O24" s="48" t="s">
        <v>78</v>
      </c>
      <c r="P24" s="48" t="s">
        <v>79</v>
      </c>
    </row>
    <row r="25" spans="1:16" ht="12.75" customHeight="1" thickBot="1">
      <c r="A25" s="15" t="str">
        <f t="shared" si="0"/>
        <v> AOLD 20.205 </v>
      </c>
      <c r="B25" s="6" t="str">
        <f t="shared" si="1"/>
        <v>II</v>
      </c>
      <c r="C25" s="15">
        <f t="shared" si="2"/>
        <v>30352.33</v>
      </c>
      <c r="D25" s="19" t="str">
        <f t="shared" si="3"/>
        <v>vis</v>
      </c>
      <c r="E25" s="45">
        <f>VLOOKUP(C25,Active!C$21:E$972,3,FALSE)</f>
        <v>23.487826662127805</v>
      </c>
      <c r="F25" s="6" t="s">
        <v>62</v>
      </c>
      <c r="G25" s="19" t="str">
        <f t="shared" si="4"/>
        <v>30352.33</v>
      </c>
      <c r="H25" s="15">
        <f t="shared" si="5"/>
        <v>23.5</v>
      </c>
      <c r="I25" s="46" t="s">
        <v>95</v>
      </c>
      <c r="J25" s="47" t="s">
        <v>96</v>
      </c>
      <c r="K25" s="46">
        <v>23.5</v>
      </c>
      <c r="L25" s="46" t="s">
        <v>97</v>
      </c>
      <c r="M25" s="47" t="s">
        <v>69</v>
      </c>
      <c r="N25" s="47"/>
      <c r="O25" s="48" t="s">
        <v>78</v>
      </c>
      <c r="P25" s="48" t="s">
        <v>79</v>
      </c>
    </row>
    <row r="26" spans="1:16" ht="12.75" customHeight="1" thickBot="1">
      <c r="A26" s="15" t="str">
        <f t="shared" si="0"/>
        <v> AOLD 20.205 </v>
      </c>
      <c r="B26" s="6" t="str">
        <f t="shared" si="1"/>
        <v>II</v>
      </c>
      <c r="C26" s="15">
        <f t="shared" si="2"/>
        <v>30404.28</v>
      </c>
      <c r="D26" s="19" t="str">
        <f t="shared" si="3"/>
        <v>vis</v>
      </c>
      <c r="E26" s="45">
        <f>VLOOKUP(C26,Active!C$21:E$972,3,FALSE)</f>
        <v>56.483840591207453</v>
      </c>
      <c r="F26" s="6" t="s">
        <v>62</v>
      </c>
      <c r="G26" s="19" t="str">
        <f t="shared" si="4"/>
        <v>30404.28</v>
      </c>
      <c r="H26" s="15">
        <f t="shared" si="5"/>
        <v>56.5</v>
      </c>
      <c r="I26" s="46" t="s">
        <v>98</v>
      </c>
      <c r="J26" s="47" t="s">
        <v>99</v>
      </c>
      <c r="K26" s="46">
        <v>56.5</v>
      </c>
      <c r="L26" s="46" t="s">
        <v>100</v>
      </c>
      <c r="M26" s="47" t="s">
        <v>69</v>
      </c>
      <c r="N26" s="47"/>
      <c r="O26" s="48" t="s">
        <v>78</v>
      </c>
      <c r="P26" s="48" t="s">
        <v>79</v>
      </c>
    </row>
    <row r="27" spans="1:16" ht="12.75" customHeight="1" thickBot="1">
      <c r="A27" s="15" t="str">
        <f t="shared" si="0"/>
        <v> AHSB 7.8.408 </v>
      </c>
      <c r="B27" s="6" t="str">
        <f t="shared" si="1"/>
        <v>II</v>
      </c>
      <c r="C27" s="15">
        <f t="shared" si="2"/>
        <v>30703.460999999999</v>
      </c>
      <c r="D27" s="19" t="str">
        <f t="shared" si="3"/>
        <v>vis</v>
      </c>
      <c r="E27" s="45">
        <f>VLOOKUP(C27,Active!C$21:E$972,3,FALSE)</f>
        <v>246.50848820076567</v>
      </c>
      <c r="F27" s="6" t="s">
        <v>62</v>
      </c>
      <c r="G27" s="19" t="str">
        <f t="shared" si="4"/>
        <v>30703.461</v>
      </c>
      <c r="H27" s="15">
        <f t="shared" si="5"/>
        <v>246.5</v>
      </c>
      <c r="I27" s="46" t="s">
        <v>101</v>
      </c>
      <c r="J27" s="47" t="s">
        <v>102</v>
      </c>
      <c r="K27" s="46">
        <v>246.5</v>
      </c>
      <c r="L27" s="46" t="s">
        <v>103</v>
      </c>
      <c r="M27" s="47" t="s">
        <v>69</v>
      </c>
      <c r="N27" s="47"/>
      <c r="O27" s="48" t="s">
        <v>70</v>
      </c>
      <c r="P27" s="48" t="s">
        <v>71</v>
      </c>
    </row>
    <row r="28" spans="1:16" ht="12.75" customHeight="1" thickBot="1">
      <c r="A28" s="15" t="str">
        <f t="shared" si="0"/>
        <v> AOLD 20.205 </v>
      </c>
      <c r="B28" s="6" t="str">
        <f t="shared" si="1"/>
        <v>II</v>
      </c>
      <c r="C28" s="15">
        <f t="shared" si="2"/>
        <v>30703.47</v>
      </c>
      <c r="D28" s="19" t="str">
        <f t="shared" si="3"/>
        <v>vis</v>
      </c>
      <c r="E28" s="45">
        <f>VLOOKUP(C28,Active!C$21:E$972,3,FALSE)</f>
        <v>246.51420454581711</v>
      </c>
      <c r="F28" s="6" t="s">
        <v>62</v>
      </c>
      <c r="G28" s="19" t="str">
        <f t="shared" si="4"/>
        <v>30703.47</v>
      </c>
      <c r="H28" s="15">
        <f t="shared" si="5"/>
        <v>246.5</v>
      </c>
      <c r="I28" s="46" t="s">
        <v>104</v>
      </c>
      <c r="J28" s="47" t="s">
        <v>105</v>
      </c>
      <c r="K28" s="46">
        <v>246.5</v>
      </c>
      <c r="L28" s="46" t="s">
        <v>82</v>
      </c>
      <c r="M28" s="47" t="s">
        <v>69</v>
      </c>
      <c r="N28" s="47"/>
      <c r="O28" s="48" t="s">
        <v>78</v>
      </c>
      <c r="P28" s="48" t="s">
        <v>79</v>
      </c>
    </row>
    <row r="29" spans="1:16" ht="12.75" customHeight="1" thickBot="1">
      <c r="A29" s="15" t="str">
        <f t="shared" si="0"/>
        <v> AOLD 20.205 </v>
      </c>
      <c r="B29" s="6" t="str">
        <f t="shared" si="1"/>
        <v>II</v>
      </c>
      <c r="C29" s="15">
        <f t="shared" si="2"/>
        <v>30763.33</v>
      </c>
      <c r="D29" s="19" t="str">
        <f t="shared" si="3"/>
        <v>vis</v>
      </c>
      <c r="E29" s="45">
        <f>VLOOKUP(C29,Active!C$21:E$972,3,FALSE)</f>
        <v>284.53425062463975</v>
      </c>
      <c r="F29" s="6" t="s">
        <v>62</v>
      </c>
      <c r="G29" s="19" t="str">
        <f t="shared" si="4"/>
        <v>30763.33</v>
      </c>
      <c r="H29" s="15">
        <f t="shared" si="5"/>
        <v>284.5</v>
      </c>
      <c r="I29" s="46" t="s">
        <v>106</v>
      </c>
      <c r="J29" s="47" t="s">
        <v>107</v>
      </c>
      <c r="K29" s="46">
        <v>284.5</v>
      </c>
      <c r="L29" s="46" t="s">
        <v>108</v>
      </c>
      <c r="M29" s="47" t="s">
        <v>69</v>
      </c>
      <c r="N29" s="47"/>
      <c r="O29" s="48" t="s">
        <v>78</v>
      </c>
      <c r="P29" s="48" t="s">
        <v>79</v>
      </c>
    </row>
    <row r="30" spans="1:16" ht="12.75" customHeight="1" thickBot="1">
      <c r="A30" s="15" t="str">
        <f t="shared" si="0"/>
        <v> AHSB 7.8.408 </v>
      </c>
      <c r="B30" s="6" t="str">
        <f t="shared" si="1"/>
        <v>I</v>
      </c>
      <c r="C30" s="15">
        <f t="shared" si="2"/>
        <v>31077.391</v>
      </c>
      <c r="D30" s="19" t="str">
        <f t="shared" si="3"/>
        <v>vis</v>
      </c>
      <c r="E30" s="45">
        <f>VLOOKUP(C30,Active!C$21:E$972,3,FALSE)</f>
        <v>484.00992205064927</v>
      </c>
      <c r="F30" s="6" t="s">
        <v>62</v>
      </c>
      <c r="G30" s="19" t="str">
        <f t="shared" si="4"/>
        <v>31077.391</v>
      </c>
      <c r="H30" s="15">
        <f t="shared" si="5"/>
        <v>484</v>
      </c>
      <c r="I30" s="46" t="s">
        <v>109</v>
      </c>
      <c r="J30" s="47" t="s">
        <v>110</v>
      </c>
      <c r="K30" s="46">
        <v>484</v>
      </c>
      <c r="L30" s="46" t="s">
        <v>111</v>
      </c>
      <c r="M30" s="47" t="s">
        <v>69</v>
      </c>
      <c r="N30" s="47"/>
      <c r="O30" s="48" t="s">
        <v>70</v>
      </c>
      <c r="P30" s="48" t="s">
        <v>71</v>
      </c>
    </row>
    <row r="31" spans="1:16" ht="12.75" customHeight="1" thickBot="1">
      <c r="A31" s="15" t="str">
        <f t="shared" si="0"/>
        <v> AHSB 7.8.408 </v>
      </c>
      <c r="B31" s="6" t="str">
        <f t="shared" si="1"/>
        <v>II</v>
      </c>
      <c r="C31" s="15">
        <f t="shared" si="2"/>
        <v>31846.485000000001</v>
      </c>
      <c r="D31" s="19" t="str">
        <f t="shared" si="3"/>
        <v>vis</v>
      </c>
      <c r="E31" s="45">
        <f>VLOOKUP(C31,Active!C$21:E$972,3,FALSE)</f>
        <v>972.49955317236322</v>
      </c>
      <c r="F31" s="6" t="s">
        <v>62</v>
      </c>
      <c r="G31" s="19" t="str">
        <f t="shared" si="4"/>
        <v>31846.485</v>
      </c>
      <c r="H31" s="15">
        <f t="shared" si="5"/>
        <v>972.5</v>
      </c>
      <c r="I31" s="46" t="s">
        <v>112</v>
      </c>
      <c r="J31" s="47" t="s">
        <v>113</v>
      </c>
      <c r="K31" s="46">
        <v>972.5</v>
      </c>
      <c r="L31" s="46" t="s">
        <v>114</v>
      </c>
      <c r="M31" s="47" t="s">
        <v>69</v>
      </c>
      <c r="N31" s="47"/>
      <c r="O31" s="48" t="s">
        <v>70</v>
      </c>
      <c r="P31" s="48" t="s">
        <v>71</v>
      </c>
    </row>
    <row r="32" spans="1:16" ht="12.75" customHeight="1" thickBot="1">
      <c r="A32" s="15" t="str">
        <f t="shared" si="0"/>
        <v> AHSB 7.8.408 </v>
      </c>
      <c r="B32" s="6" t="str">
        <f t="shared" si="1"/>
        <v>II</v>
      </c>
      <c r="C32" s="15">
        <f t="shared" si="2"/>
        <v>31876.406999999999</v>
      </c>
      <c r="D32" s="19" t="str">
        <f t="shared" si="3"/>
        <v>vis</v>
      </c>
      <c r="E32" s="45">
        <f>VLOOKUP(C32,Active!C$21:E$972,3,FALSE)</f>
        <v>991.50449501617322</v>
      </c>
      <c r="F32" s="6" t="s">
        <v>62</v>
      </c>
      <c r="G32" s="19" t="str">
        <f t="shared" si="4"/>
        <v>31876.407</v>
      </c>
      <c r="H32" s="15">
        <f t="shared" si="5"/>
        <v>991.5</v>
      </c>
      <c r="I32" s="46" t="s">
        <v>115</v>
      </c>
      <c r="J32" s="47" t="s">
        <v>116</v>
      </c>
      <c r="K32" s="46">
        <v>991.5</v>
      </c>
      <c r="L32" s="46" t="s">
        <v>117</v>
      </c>
      <c r="M32" s="47" t="s">
        <v>69</v>
      </c>
      <c r="N32" s="47"/>
      <c r="O32" s="48" t="s">
        <v>70</v>
      </c>
      <c r="P32" s="48" t="s">
        <v>71</v>
      </c>
    </row>
    <row r="33" spans="1:16" ht="12.75" customHeight="1" thickBot="1">
      <c r="A33" s="15" t="str">
        <f t="shared" si="0"/>
        <v> AHSB 7.8.408 </v>
      </c>
      <c r="B33" s="6" t="str">
        <f t="shared" si="1"/>
        <v>II</v>
      </c>
      <c r="C33" s="15">
        <f t="shared" si="2"/>
        <v>31917.328000000001</v>
      </c>
      <c r="D33" s="19" t="str">
        <f t="shared" si="3"/>
        <v>vis</v>
      </c>
      <c r="E33" s="45">
        <f>VLOOKUP(C33,Active!C$21:E$972,3,FALSE)</f>
        <v>1017.4954456608704</v>
      </c>
      <c r="F33" s="6" t="s">
        <v>62</v>
      </c>
      <c r="G33" s="19" t="str">
        <f t="shared" si="4"/>
        <v>31917.328</v>
      </c>
      <c r="H33" s="15">
        <f t="shared" si="5"/>
        <v>1017.5</v>
      </c>
      <c r="I33" s="46" t="s">
        <v>118</v>
      </c>
      <c r="J33" s="47" t="s">
        <v>119</v>
      </c>
      <c r="K33" s="46">
        <v>1017.5</v>
      </c>
      <c r="L33" s="46" t="s">
        <v>120</v>
      </c>
      <c r="M33" s="47" t="s">
        <v>69</v>
      </c>
      <c r="N33" s="47"/>
      <c r="O33" s="48" t="s">
        <v>70</v>
      </c>
      <c r="P33" s="48" t="s">
        <v>71</v>
      </c>
    </row>
    <row r="34" spans="1:16" ht="12.75" customHeight="1" thickBot="1">
      <c r="A34" s="15" t="str">
        <f t="shared" si="0"/>
        <v> AHSB 7.8.408 </v>
      </c>
      <c r="B34" s="6" t="str">
        <f t="shared" si="1"/>
        <v>I</v>
      </c>
      <c r="C34" s="15">
        <f t="shared" si="2"/>
        <v>32231.422999999999</v>
      </c>
      <c r="D34" s="19" t="str">
        <f t="shared" si="3"/>
        <v>vis</v>
      </c>
      <c r="E34" s="45">
        <f>VLOOKUP(C34,Active!C$21:E$972,3,FALSE)</f>
        <v>1216.9927121681808</v>
      </c>
      <c r="F34" s="6" t="s">
        <v>62</v>
      </c>
      <c r="G34" s="19" t="str">
        <f t="shared" si="4"/>
        <v>32231.423</v>
      </c>
      <c r="H34" s="15">
        <f t="shared" si="5"/>
        <v>1217</v>
      </c>
      <c r="I34" s="46" t="s">
        <v>121</v>
      </c>
      <c r="J34" s="47" t="s">
        <v>122</v>
      </c>
      <c r="K34" s="46">
        <v>1217</v>
      </c>
      <c r="L34" s="46" t="s">
        <v>123</v>
      </c>
      <c r="M34" s="47" t="s">
        <v>69</v>
      </c>
      <c r="N34" s="47"/>
      <c r="O34" s="48" t="s">
        <v>70</v>
      </c>
      <c r="P34" s="48" t="s">
        <v>71</v>
      </c>
    </row>
    <row r="35" spans="1:16" ht="12.75" customHeight="1" thickBot="1">
      <c r="A35" s="15" t="str">
        <f t="shared" si="0"/>
        <v> AHSB 7.8.408 </v>
      </c>
      <c r="B35" s="6" t="str">
        <f t="shared" si="1"/>
        <v>II</v>
      </c>
      <c r="C35" s="15">
        <f t="shared" si="2"/>
        <v>32257.386999999999</v>
      </c>
      <c r="D35" s="19" t="str">
        <f t="shared" si="3"/>
        <v>vis</v>
      </c>
      <c r="E35" s="45">
        <f>VLOOKUP(C35,Active!C$21:E$972,3,FALSE)</f>
        <v>1233.483732488771</v>
      </c>
      <c r="F35" s="6" t="s">
        <v>62</v>
      </c>
      <c r="G35" s="19" t="str">
        <f t="shared" si="4"/>
        <v>32257.387</v>
      </c>
      <c r="H35" s="15">
        <f t="shared" si="5"/>
        <v>1233.5</v>
      </c>
      <c r="I35" s="46" t="s">
        <v>124</v>
      </c>
      <c r="J35" s="47" t="s">
        <v>125</v>
      </c>
      <c r="K35" s="46">
        <v>1233.5</v>
      </c>
      <c r="L35" s="46" t="s">
        <v>126</v>
      </c>
      <c r="M35" s="47" t="s">
        <v>69</v>
      </c>
      <c r="N35" s="47"/>
      <c r="O35" s="48" t="s">
        <v>70</v>
      </c>
      <c r="P35" s="48" t="s">
        <v>71</v>
      </c>
    </row>
    <row r="36" spans="1:16" ht="12.75" customHeight="1" thickBot="1">
      <c r="A36" s="15" t="str">
        <f t="shared" si="0"/>
        <v> AHSB 7.8.408 </v>
      </c>
      <c r="B36" s="6" t="str">
        <f t="shared" si="1"/>
        <v>I</v>
      </c>
      <c r="C36" s="15">
        <f t="shared" si="2"/>
        <v>32971.413</v>
      </c>
      <c r="D36" s="19" t="str">
        <f t="shared" si="3"/>
        <v>vis</v>
      </c>
      <c r="E36" s="45">
        <f>VLOOKUP(C36,Active!C$21:E$972,3,FALSE)</f>
        <v>1686.9969536962089</v>
      </c>
      <c r="F36" s="6" t="s">
        <v>62</v>
      </c>
      <c r="G36" s="19" t="str">
        <f t="shared" si="4"/>
        <v>32971.413</v>
      </c>
      <c r="H36" s="15">
        <f t="shared" si="5"/>
        <v>1687</v>
      </c>
      <c r="I36" s="46" t="s">
        <v>127</v>
      </c>
      <c r="J36" s="47" t="s">
        <v>128</v>
      </c>
      <c r="K36" s="46">
        <v>1687</v>
      </c>
      <c r="L36" s="46" t="s">
        <v>129</v>
      </c>
      <c r="M36" s="47" t="s">
        <v>69</v>
      </c>
      <c r="N36" s="47"/>
      <c r="O36" s="48" t="s">
        <v>70</v>
      </c>
      <c r="P36" s="48" t="s">
        <v>71</v>
      </c>
    </row>
    <row r="37" spans="1:16" ht="12.75" customHeight="1" thickBot="1">
      <c r="A37" s="15" t="str">
        <f t="shared" si="0"/>
        <v> AHSB 7.8.408 </v>
      </c>
      <c r="B37" s="6" t="str">
        <f t="shared" si="1"/>
        <v>I</v>
      </c>
      <c r="C37" s="15">
        <f t="shared" si="2"/>
        <v>33023.349000000002</v>
      </c>
      <c r="D37" s="19" t="str">
        <f t="shared" si="3"/>
        <v>vis</v>
      </c>
      <c r="E37" s="45">
        <f>VLOOKUP(C37,Active!C$21:E$972,3,FALSE)</f>
        <v>1719.984075532991</v>
      </c>
      <c r="F37" s="6" t="s">
        <v>62</v>
      </c>
      <c r="G37" s="19" t="str">
        <f t="shared" si="4"/>
        <v>33023.349</v>
      </c>
      <c r="H37" s="15">
        <f t="shared" si="5"/>
        <v>1720</v>
      </c>
      <c r="I37" s="46" t="s">
        <v>130</v>
      </c>
      <c r="J37" s="47" t="s">
        <v>131</v>
      </c>
      <c r="K37" s="46">
        <v>1720</v>
      </c>
      <c r="L37" s="46" t="s">
        <v>132</v>
      </c>
      <c r="M37" s="47" t="s">
        <v>69</v>
      </c>
      <c r="N37" s="47"/>
      <c r="O37" s="48" t="s">
        <v>70</v>
      </c>
      <c r="P37" s="48" t="s">
        <v>71</v>
      </c>
    </row>
    <row r="38" spans="1:16" ht="12.75" customHeight="1" thickBot="1">
      <c r="A38" s="15" t="str">
        <f t="shared" si="0"/>
        <v> AHSB 7.8.408 </v>
      </c>
      <c r="B38" s="6" t="str">
        <f t="shared" si="1"/>
        <v>II</v>
      </c>
      <c r="C38" s="15">
        <f t="shared" si="2"/>
        <v>33685.417000000001</v>
      </c>
      <c r="D38" s="19" t="str">
        <f t="shared" si="3"/>
        <v>vis</v>
      </c>
      <c r="E38" s="45">
        <f>VLOOKUP(C38,Active!C$21:E$972,3,FALSE)</f>
        <v>2140.4962016157456</v>
      </c>
      <c r="F38" s="6" t="s">
        <v>62</v>
      </c>
      <c r="G38" s="19" t="str">
        <f t="shared" si="4"/>
        <v>33685.417</v>
      </c>
      <c r="H38" s="15">
        <f t="shared" si="5"/>
        <v>2140.5</v>
      </c>
      <c r="I38" s="46" t="s">
        <v>133</v>
      </c>
      <c r="J38" s="47" t="s">
        <v>134</v>
      </c>
      <c r="K38" s="46">
        <v>2140.5</v>
      </c>
      <c r="L38" s="46" t="s">
        <v>135</v>
      </c>
      <c r="M38" s="47" t="s">
        <v>69</v>
      </c>
      <c r="N38" s="47"/>
      <c r="O38" s="48" t="s">
        <v>70</v>
      </c>
      <c r="P38" s="48" t="s">
        <v>71</v>
      </c>
    </row>
    <row r="39" spans="1:16" ht="12.75" customHeight="1" thickBot="1">
      <c r="A39" s="15" t="str">
        <f t="shared" si="0"/>
        <v> AHSB 7.8.408 </v>
      </c>
      <c r="B39" s="6" t="str">
        <f t="shared" si="1"/>
        <v>II</v>
      </c>
      <c r="C39" s="15">
        <f t="shared" si="2"/>
        <v>34085.311999999998</v>
      </c>
      <c r="D39" s="19" t="str">
        <f t="shared" si="3"/>
        <v>vis</v>
      </c>
      <c r="E39" s="45">
        <f>VLOOKUP(C39,Active!C$21:E$972,3,FALSE)</f>
        <v>2394.4892909356677</v>
      </c>
      <c r="F39" s="6" t="s">
        <v>62</v>
      </c>
      <c r="G39" s="19" t="str">
        <f t="shared" si="4"/>
        <v>34085.312</v>
      </c>
      <c r="H39" s="15">
        <f t="shared" si="5"/>
        <v>2394.5</v>
      </c>
      <c r="I39" s="46" t="s">
        <v>136</v>
      </c>
      <c r="J39" s="47" t="s">
        <v>137</v>
      </c>
      <c r="K39" s="46">
        <v>2394.5</v>
      </c>
      <c r="L39" s="46" t="s">
        <v>138</v>
      </c>
      <c r="M39" s="47" t="s">
        <v>69</v>
      </c>
      <c r="N39" s="47"/>
      <c r="O39" s="48" t="s">
        <v>70</v>
      </c>
      <c r="P39" s="48" t="s">
        <v>71</v>
      </c>
    </row>
    <row r="40" spans="1:16" ht="12.75" customHeight="1" thickBot="1">
      <c r="A40" s="15" t="str">
        <f t="shared" si="0"/>
        <v> AHSB 7.8.408 </v>
      </c>
      <c r="B40" s="6" t="str">
        <f t="shared" si="1"/>
        <v>I</v>
      </c>
      <c r="C40" s="15">
        <f t="shared" si="2"/>
        <v>34769.4</v>
      </c>
      <c r="D40" s="19" t="str">
        <f t="shared" si="3"/>
        <v>vis</v>
      </c>
      <c r="E40" s="45">
        <f>VLOOKUP(C40,Active!C$21:E$972,3,FALSE)</f>
        <v>2828.9874079080951</v>
      </c>
      <c r="F40" s="6" t="s">
        <v>62</v>
      </c>
      <c r="G40" s="19" t="str">
        <f t="shared" si="4"/>
        <v>34769.400</v>
      </c>
      <c r="H40" s="15">
        <f t="shared" si="5"/>
        <v>2829</v>
      </c>
      <c r="I40" s="46" t="s">
        <v>139</v>
      </c>
      <c r="J40" s="47" t="s">
        <v>140</v>
      </c>
      <c r="K40" s="46">
        <v>2829</v>
      </c>
      <c r="L40" s="46" t="s">
        <v>141</v>
      </c>
      <c r="M40" s="47" t="s">
        <v>69</v>
      </c>
      <c r="N40" s="47"/>
      <c r="O40" s="48" t="s">
        <v>70</v>
      </c>
      <c r="P40" s="48" t="s">
        <v>71</v>
      </c>
    </row>
    <row r="41" spans="1:16" ht="12.75" customHeight="1" thickBot="1">
      <c r="A41" s="15" t="str">
        <f t="shared" si="0"/>
        <v> AHSB 7.8.408 </v>
      </c>
      <c r="B41" s="6" t="str">
        <f t="shared" si="1"/>
        <v>II</v>
      </c>
      <c r="C41" s="15">
        <f t="shared" si="2"/>
        <v>34773.343999999997</v>
      </c>
      <c r="D41" s="19" t="str">
        <f t="shared" si="3"/>
        <v>vis</v>
      </c>
      <c r="E41" s="45">
        <f>VLOOKUP(C41,Active!C$21:E$972,3,FALSE)</f>
        <v>2831.4924373390127</v>
      </c>
      <c r="F41" s="6" t="s">
        <v>62</v>
      </c>
      <c r="G41" s="19" t="str">
        <f t="shared" si="4"/>
        <v>34773.344</v>
      </c>
      <c r="H41" s="15">
        <f t="shared" si="5"/>
        <v>2831.5</v>
      </c>
      <c r="I41" s="46" t="s">
        <v>142</v>
      </c>
      <c r="J41" s="47" t="s">
        <v>143</v>
      </c>
      <c r="K41" s="46">
        <v>2831.5</v>
      </c>
      <c r="L41" s="46" t="s">
        <v>144</v>
      </c>
      <c r="M41" s="47" t="s">
        <v>69</v>
      </c>
      <c r="N41" s="47"/>
      <c r="O41" s="48" t="s">
        <v>70</v>
      </c>
      <c r="P41" s="48" t="s">
        <v>71</v>
      </c>
    </row>
    <row r="42" spans="1:16" ht="12.75" customHeight="1" thickBot="1">
      <c r="A42" s="15" t="str">
        <f t="shared" si="0"/>
        <v> AHSB 7.8.408 </v>
      </c>
      <c r="B42" s="6" t="str">
        <f t="shared" si="1"/>
        <v>I</v>
      </c>
      <c r="C42" s="15">
        <f t="shared" si="2"/>
        <v>34780.449999999997</v>
      </c>
      <c r="D42" s="19" t="str">
        <f t="shared" si="3"/>
        <v>vis</v>
      </c>
      <c r="E42" s="45">
        <f>VLOOKUP(C42,Active!C$21:E$972,3,FALSE)</f>
        <v>2836.005809330929</v>
      </c>
      <c r="F42" s="6" t="s">
        <v>62</v>
      </c>
      <c r="G42" s="19" t="str">
        <f t="shared" si="4"/>
        <v>34780.450</v>
      </c>
      <c r="H42" s="15">
        <f t="shared" si="5"/>
        <v>2836</v>
      </c>
      <c r="I42" s="46" t="s">
        <v>145</v>
      </c>
      <c r="J42" s="47" t="s">
        <v>146</v>
      </c>
      <c r="K42" s="46">
        <v>2836</v>
      </c>
      <c r="L42" s="46" t="s">
        <v>147</v>
      </c>
      <c r="M42" s="47" t="s">
        <v>69</v>
      </c>
      <c r="N42" s="47"/>
      <c r="O42" s="48" t="s">
        <v>70</v>
      </c>
      <c r="P42" s="48" t="s">
        <v>71</v>
      </c>
    </row>
    <row r="43" spans="1:16" ht="12.75" customHeight="1" thickBot="1">
      <c r="A43" s="15" t="str">
        <f t="shared" si="0"/>
        <v> AHSB 7.8.408 </v>
      </c>
      <c r="B43" s="6" t="str">
        <f t="shared" si="1"/>
        <v>I</v>
      </c>
      <c r="C43" s="15">
        <f t="shared" si="2"/>
        <v>35106.394</v>
      </c>
      <c r="D43" s="19" t="str">
        <f t="shared" si="3"/>
        <v>vis</v>
      </c>
      <c r="E43" s="45">
        <f>VLOOKUP(C43,Active!C$21:E$972,3,FALSE)</f>
        <v>3043.0289616716536</v>
      </c>
      <c r="F43" s="6" t="s">
        <v>62</v>
      </c>
      <c r="G43" s="19" t="str">
        <f t="shared" si="4"/>
        <v>35106.394</v>
      </c>
      <c r="H43" s="15">
        <f t="shared" si="5"/>
        <v>3043</v>
      </c>
      <c r="I43" s="46" t="s">
        <v>148</v>
      </c>
      <c r="J43" s="47" t="s">
        <v>149</v>
      </c>
      <c r="K43" s="46">
        <v>3043</v>
      </c>
      <c r="L43" s="46" t="s">
        <v>150</v>
      </c>
      <c r="M43" s="47" t="s">
        <v>69</v>
      </c>
      <c r="N43" s="47"/>
      <c r="O43" s="48" t="s">
        <v>70</v>
      </c>
      <c r="P43" s="48" t="s">
        <v>71</v>
      </c>
    </row>
    <row r="44" spans="1:16" ht="12.75" customHeight="1" thickBot="1">
      <c r="A44" s="15" t="str">
        <f t="shared" si="0"/>
        <v> AHSB 7.8.408 </v>
      </c>
      <c r="B44" s="6" t="str">
        <f t="shared" si="1"/>
        <v>I</v>
      </c>
      <c r="C44" s="15">
        <f t="shared" si="2"/>
        <v>35161.46</v>
      </c>
      <c r="D44" s="19" t="str">
        <f t="shared" si="3"/>
        <v>vis</v>
      </c>
      <c r="E44" s="45">
        <f>VLOOKUP(C44,Active!C$21:E$972,3,FALSE)</f>
        <v>3078.0041012870292</v>
      </c>
      <c r="F44" s="6" t="s">
        <v>62</v>
      </c>
      <c r="G44" s="19" t="str">
        <f t="shared" si="4"/>
        <v>35161.460</v>
      </c>
      <c r="H44" s="15">
        <f t="shared" si="5"/>
        <v>3078</v>
      </c>
      <c r="I44" s="46" t="s">
        <v>151</v>
      </c>
      <c r="J44" s="47" t="s">
        <v>152</v>
      </c>
      <c r="K44" s="46">
        <v>3078</v>
      </c>
      <c r="L44" s="46" t="s">
        <v>153</v>
      </c>
      <c r="M44" s="47" t="s">
        <v>69</v>
      </c>
      <c r="N44" s="47"/>
      <c r="O44" s="48" t="s">
        <v>70</v>
      </c>
      <c r="P44" s="48" t="s">
        <v>71</v>
      </c>
    </row>
    <row r="45" spans="1:16" ht="12.75" customHeight="1" thickBot="1">
      <c r="A45" s="15" t="str">
        <f t="shared" si="0"/>
        <v> AHSB 7.8.408 </v>
      </c>
      <c r="B45" s="6" t="str">
        <f t="shared" si="1"/>
        <v>II</v>
      </c>
      <c r="C45" s="15">
        <f t="shared" si="2"/>
        <v>35165.385999999999</v>
      </c>
      <c r="D45" s="19" t="str">
        <f t="shared" si="3"/>
        <v>vis</v>
      </c>
      <c r="E45" s="45">
        <f>VLOOKUP(C45,Active!C$21:E$972,3,FALSE)</f>
        <v>3080.4976980278484</v>
      </c>
      <c r="F45" s="6" t="s">
        <v>62</v>
      </c>
      <c r="G45" s="19" t="str">
        <f t="shared" si="4"/>
        <v>35165.386</v>
      </c>
      <c r="H45" s="15">
        <f t="shared" si="5"/>
        <v>3080.5</v>
      </c>
      <c r="I45" s="46" t="s">
        <v>154</v>
      </c>
      <c r="J45" s="47" t="s">
        <v>155</v>
      </c>
      <c r="K45" s="46">
        <v>3080.5</v>
      </c>
      <c r="L45" s="46" t="s">
        <v>156</v>
      </c>
      <c r="M45" s="47" t="s">
        <v>69</v>
      </c>
      <c r="N45" s="47"/>
      <c r="O45" s="48" t="s">
        <v>70</v>
      </c>
      <c r="P45" s="48" t="s">
        <v>71</v>
      </c>
    </row>
    <row r="46" spans="1:16" ht="12.75" customHeight="1" thickBot="1">
      <c r="A46" s="15" t="str">
        <f t="shared" si="0"/>
        <v> AHSB 7.8.408 </v>
      </c>
      <c r="B46" s="6" t="str">
        <f t="shared" si="1"/>
        <v>II</v>
      </c>
      <c r="C46" s="15">
        <f t="shared" si="2"/>
        <v>35184.305</v>
      </c>
      <c r="D46" s="19" t="str">
        <f t="shared" si="3"/>
        <v>vis</v>
      </c>
      <c r="E46" s="45">
        <f>VLOOKUP(C46,Active!C$21:E$972,3,FALSE)</f>
        <v>3092.5140904729756</v>
      </c>
      <c r="F46" s="6" t="s">
        <v>62</v>
      </c>
      <c r="G46" s="19" t="str">
        <f t="shared" si="4"/>
        <v>35184.305</v>
      </c>
      <c r="H46" s="15">
        <f t="shared" si="5"/>
        <v>3092.5</v>
      </c>
      <c r="I46" s="46" t="s">
        <v>157</v>
      </c>
      <c r="J46" s="47" t="s">
        <v>158</v>
      </c>
      <c r="K46" s="46">
        <v>3092.5</v>
      </c>
      <c r="L46" s="46" t="s">
        <v>159</v>
      </c>
      <c r="M46" s="47" t="s">
        <v>69</v>
      </c>
      <c r="N46" s="47"/>
      <c r="O46" s="48" t="s">
        <v>70</v>
      </c>
      <c r="P46" s="48" t="s">
        <v>71</v>
      </c>
    </row>
    <row r="47" spans="1:16" ht="12.75" customHeight="1" thickBot="1">
      <c r="A47" s="15" t="str">
        <f t="shared" si="0"/>
        <v> AHSB 7.8.408 </v>
      </c>
      <c r="B47" s="6" t="str">
        <f t="shared" si="1"/>
        <v>I</v>
      </c>
      <c r="C47" s="15">
        <f t="shared" si="2"/>
        <v>36608.370999999999</v>
      </c>
      <c r="D47" s="19" t="str">
        <f t="shared" si="3"/>
        <v>vis</v>
      </c>
      <c r="E47" s="45">
        <f>VLOOKUP(C47,Active!C$21:E$972,3,FALSE)</f>
        <v>3997.0088271800273</v>
      </c>
      <c r="F47" s="6" t="s">
        <v>62</v>
      </c>
      <c r="G47" s="19" t="str">
        <f t="shared" si="4"/>
        <v>36608.371</v>
      </c>
      <c r="H47" s="15">
        <f t="shared" si="5"/>
        <v>3997</v>
      </c>
      <c r="I47" s="46" t="s">
        <v>160</v>
      </c>
      <c r="J47" s="47" t="s">
        <v>161</v>
      </c>
      <c r="K47" s="46">
        <v>3997</v>
      </c>
      <c r="L47" s="46" t="s">
        <v>162</v>
      </c>
      <c r="M47" s="47" t="s">
        <v>69</v>
      </c>
      <c r="N47" s="47"/>
      <c r="O47" s="48" t="s">
        <v>70</v>
      </c>
      <c r="P47" s="48" t="s">
        <v>71</v>
      </c>
    </row>
    <row r="48" spans="1:16" ht="12.75" customHeight="1" thickBot="1">
      <c r="A48" s="15" t="str">
        <f t="shared" si="0"/>
        <v> AHSB 7.8.408 </v>
      </c>
      <c r="B48" s="6" t="str">
        <f t="shared" si="1"/>
        <v>I</v>
      </c>
      <c r="C48" s="15">
        <f t="shared" si="2"/>
        <v>36630.385999999999</v>
      </c>
      <c r="D48" s="19" t="str">
        <f t="shared" si="3"/>
        <v>vis</v>
      </c>
      <c r="E48" s="45">
        <f>VLOOKUP(C48,Active!C$21:E$972,3,FALSE)</f>
        <v>4010.9916423224468</v>
      </c>
      <c r="F48" s="6" t="s">
        <v>62</v>
      </c>
      <c r="G48" s="19" t="str">
        <f t="shared" si="4"/>
        <v>36630.386</v>
      </c>
      <c r="H48" s="15">
        <f t="shared" si="5"/>
        <v>4011</v>
      </c>
      <c r="I48" s="46" t="s">
        <v>163</v>
      </c>
      <c r="J48" s="47" t="s">
        <v>164</v>
      </c>
      <c r="K48" s="46">
        <v>4011</v>
      </c>
      <c r="L48" s="46" t="s">
        <v>165</v>
      </c>
      <c r="M48" s="47" t="s">
        <v>69</v>
      </c>
      <c r="N48" s="47"/>
      <c r="O48" s="48" t="s">
        <v>70</v>
      </c>
      <c r="P48" s="48" t="s">
        <v>71</v>
      </c>
    </row>
    <row r="49" spans="1:16" ht="12.75" customHeight="1" thickBot="1">
      <c r="A49" s="15" t="str">
        <f t="shared" si="0"/>
        <v> AHSB 7.8.408 </v>
      </c>
      <c r="B49" s="6" t="str">
        <f t="shared" si="1"/>
        <v>II</v>
      </c>
      <c r="C49" s="15">
        <f t="shared" si="2"/>
        <v>37695.5</v>
      </c>
      <c r="D49" s="19" t="str">
        <f t="shared" si="3"/>
        <v>vis</v>
      </c>
      <c r="E49" s="45">
        <f>VLOOKUP(C49,Active!C$21:E$972,3,FALSE)</f>
        <v>4687.4982136421731</v>
      </c>
      <c r="F49" s="6" t="s">
        <v>62</v>
      </c>
      <c r="G49" s="19" t="str">
        <f t="shared" si="4"/>
        <v>37695.500</v>
      </c>
      <c r="H49" s="15">
        <f t="shared" si="5"/>
        <v>4687.5</v>
      </c>
      <c r="I49" s="46" t="s">
        <v>166</v>
      </c>
      <c r="J49" s="47" t="s">
        <v>167</v>
      </c>
      <c r="K49" s="46">
        <v>4687.5</v>
      </c>
      <c r="L49" s="46" t="s">
        <v>64</v>
      </c>
      <c r="M49" s="47" t="s">
        <v>69</v>
      </c>
      <c r="N49" s="47"/>
      <c r="O49" s="48" t="s">
        <v>70</v>
      </c>
      <c r="P49" s="48" t="s">
        <v>71</v>
      </c>
    </row>
    <row r="50" spans="1:16" ht="12.75" customHeight="1" thickBot="1">
      <c r="A50" s="15" t="str">
        <f t="shared" si="0"/>
        <v> VSSC 70.21 </v>
      </c>
      <c r="B50" s="6" t="str">
        <f t="shared" si="1"/>
        <v>I</v>
      </c>
      <c r="C50" s="15">
        <f t="shared" si="2"/>
        <v>46845.305</v>
      </c>
      <c r="D50" s="19" t="str">
        <f t="shared" si="3"/>
        <v>vis</v>
      </c>
      <c r="E50" s="45">
        <f>VLOOKUP(C50,Active!C$21:E$972,3,FALSE)</f>
        <v>10498.991827277969</v>
      </c>
      <c r="F50" s="6" t="s">
        <v>62</v>
      </c>
      <c r="G50" s="19" t="str">
        <f t="shared" si="4"/>
        <v>46845.305</v>
      </c>
      <c r="H50" s="15">
        <f t="shared" si="5"/>
        <v>10499</v>
      </c>
      <c r="I50" s="46" t="s">
        <v>174</v>
      </c>
      <c r="J50" s="47" t="s">
        <v>175</v>
      </c>
      <c r="K50" s="46">
        <v>10499</v>
      </c>
      <c r="L50" s="46" t="s">
        <v>165</v>
      </c>
      <c r="M50" s="47" t="s">
        <v>171</v>
      </c>
      <c r="N50" s="47"/>
      <c r="O50" s="48" t="s">
        <v>176</v>
      </c>
      <c r="P50" s="48" t="s">
        <v>177</v>
      </c>
    </row>
    <row r="51" spans="1:16" ht="12.75" customHeight="1" thickBot="1">
      <c r="A51" s="15" t="str">
        <f t="shared" si="0"/>
        <v>BAVM 56 </v>
      </c>
      <c r="B51" s="6" t="str">
        <f t="shared" si="1"/>
        <v>II</v>
      </c>
      <c r="C51" s="15">
        <f t="shared" si="2"/>
        <v>47929.3122</v>
      </c>
      <c r="D51" s="19" t="str">
        <f t="shared" si="3"/>
        <v>vis</v>
      </c>
      <c r="E51" s="45">
        <f>VLOOKUP(C51,Active!C$21:E$972,3,FALSE)</f>
        <v>11187.498404187008</v>
      </c>
      <c r="F51" s="6" t="s">
        <v>62</v>
      </c>
      <c r="G51" s="19" t="str">
        <f t="shared" si="4"/>
        <v>47929.3122</v>
      </c>
      <c r="H51" s="15">
        <f t="shared" si="5"/>
        <v>11187.5</v>
      </c>
      <c r="I51" s="46" t="s">
        <v>178</v>
      </c>
      <c r="J51" s="47" t="s">
        <v>179</v>
      </c>
      <c r="K51" s="46">
        <v>11187.5</v>
      </c>
      <c r="L51" s="46" t="s">
        <v>180</v>
      </c>
      <c r="M51" s="47" t="s">
        <v>181</v>
      </c>
      <c r="N51" s="47" t="s">
        <v>182</v>
      </c>
      <c r="O51" s="48" t="s">
        <v>183</v>
      </c>
      <c r="P51" s="49" t="s">
        <v>184</v>
      </c>
    </row>
    <row r="52" spans="1:16" ht="12.75" customHeight="1" thickBot="1">
      <c r="A52" s="15" t="str">
        <f t="shared" si="0"/>
        <v>BAVM 59 </v>
      </c>
      <c r="B52" s="6" t="str">
        <f t="shared" si="1"/>
        <v>II</v>
      </c>
      <c r="C52" s="15">
        <f t="shared" si="2"/>
        <v>47929.313000000002</v>
      </c>
      <c r="D52" s="19" t="str">
        <f t="shared" si="3"/>
        <v>vis</v>
      </c>
      <c r="E52" s="45">
        <f>VLOOKUP(C52,Active!C$21:E$972,3,FALSE)</f>
        <v>11187.49891230657</v>
      </c>
      <c r="F52" s="6" t="s">
        <v>62</v>
      </c>
      <c r="G52" s="19" t="str">
        <f t="shared" si="4"/>
        <v>47929.313</v>
      </c>
      <c r="H52" s="15">
        <f t="shared" si="5"/>
        <v>11187.5</v>
      </c>
      <c r="I52" s="46" t="s">
        <v>185</v>
      </c>
      <c r="J52" s="47" t="s">
        <v>186</v>
      </c>
      <c r="K52" s="46">
        <v>11187.5</v>
      </c>
      <c r="L52" s="46" t="s">
        <v>187</v>
      </c>
      <c r="M52" s="47" t="s">
        <v>65</v>
      </c>
      <c r="N52" s="47"/>
      <c r="O52" s="48" t="s">
        <v>188</v>
      </c>
      <c r="P52" s="49" t="s">
        <v>189</v>
      </c>
    </row>
    <row r="53" spans="1:16" ht="12.75" customHeight="1" thickBot="1">
      <c r="A53" s="15" t="str">
        <f t="shared" si="0"/>
        <v>VSB 45 </v>
      </c>
      <c r="B53" s="6" t="str">
        <f t="shared" si="1"/>
        <v>II</v>
      </c>
      <c r="C53" s="15">
        <f t="shared" si="2"/>
        <v>54052.277900000001</v>
      </c>
      <c r="D53" s="19" t="str">
        <f t="shared" si="3"/>
        <v>vis</v>
      </c>
      <c r="E53" s="45">
        <f>VLOOKUP(C53,Active!C$21:E$972,3,FALSE)</f>
        <v>15076.496701097274</v>
      </c>
      <c r="F53" s="6" t="s">
        <v>62</v>
      </c>
      <c r="G53" s="19" t="str">
        <f t="shared" si="4"/>
        <v>54052.2779</v>
      </c>
      <c r="H53" s="15">
        <f t="shared" si="5"/>
        <v>15076.5</v>
      </c>
      <c r="I53" s="46" t="s">
        <v>202</v>
      </c>
      <c r="J53" s="47" t="s">
        <v>203</v>
      </c>
      <c r="K53" s="46">
        <v>15076.5</v>
      </c>
      <c r="L53" s="46" t="s">
        <v>204</v>
      </c>
      <c r="M53" s="47" t="s">
        <v>181</v>
      </c>
      <c r="N53" s="47" t="s">
        <v>193</v>
      </c>
      <c r="O53" s="48" t="s">
        <v>205</v>
      </c>
      <c r="P53" s="49" t="s">
        <v>206</v>
      </c>
    </row>
    <row r="54" spans="1:16" ht="12.75" customHeight="1" thickBot="1">
      <c r="A54" s="15" t="str">
        <f t="shared" si="0"/>
        <v>VSB 50 </v>
      </c>
      <c r="B54" s="6" t="str">
        <f t="shared" si="1"/>
        <v>I</v>
      </c>
      <c r="C54" s="15">
        <f t="shared" si="2"/>
        <v>54856.026599999997</v>
      </c>
      <c r="D54" s="19" t="str">
        <f t="shared" si="3"/>
        <v>vis</v>
      </c>
      <c r="E54" s="45">
        <f>VLOOKUP(C54,Active!C$21:E$972,3,FALSE)</f>
        <v>15586.997245864954</v>
      </c>
      <c r="F54" s="6" t="s">
        <v>62</v>
      </c>
      <c r="G54" s="19" t="str">
        <f t="shared" si="4"/>
        <v>54856.0266</v>
      </c>
      <c r="H54" s="15">
        <f t="shared" si="5"/>
        <v>15587</v>
      </c>
      <c r="I54" s="46" t="s">
        <v>207</v>
      </c>
      <c r="J54" s="47" t="s">
        <v>208</v>
      </c>
      <c r="K54" s="46">
        <v>15587</v>
      </c>
      <c r="L54" s="46" t="s">
        <v>209</v>
      </c>
      <c r="M54" s="47" t="s">
        <v>199</v>
      </c>
      <c r="N54" s="47" t="s">
        <v>62</v>
      </c>
      <c r="O54" s="48" t="s">
        <v>210</v>
      </c>
      <c r="P54" s="49" t="s">
        <v>211</v>
      </c>
    </row>
    <row r="55" spans="1:16" ht="12.75" customHeight="1" thickBot="1">
      <c r="A55" s="15" t="str">
        <f t="shared" si="0"/>
        <v>VSB 50 </v>
      </c>
      <c r="B55" s="6" t="str">
        <f t="shared" si="1"/>
        <v>I</v>
      </c>
      <c r="C55" s="15">
        <f t="shared" si="2"/>
        <v>55185.073900000003</v>
      </c>
      <c r="D55" s="19" t="str">
        <f t="shared" si="3"/>
        <v>vis</v>
      </c>
      <c r="E55" s="45">
        <f>VLOOKUP(C55,Active!C$21:E$972,3,FALSE)</f>
        <v>15795.991457493959</v>
      </c>
      <c r="F55" s="6" t="s">
        <v>62</v>
      </c>
      <c r="G55" s="19" t="str">
        <f t="shared" si="4"/>
        <v>55185.0739</v>
      </c>
      <c r="H55" s="15">
        <f t="shared" si="5"/>
        <v>15796</v>
      </c>
      <c r="I55" s="46" t="s">
        <v>212</v>
      </c>
      <c r="J55" s="47" t="s">
        <v>213</v>
      </c>
      <c r="K55" s="46">
        <v>15796</v>
      </c>
      <c r="L55" s="46" t="s">
        <v>214</v>
      </c>
      <c r="M55" s="47" t="s">
        <v>199</v>
      </c>
      <c r="N55" s="47" t="s">
        <v>215</v>
      </c>
      <c r="O55" s="48" t="s">
        <v>216</v>
      </c>
      <c r="P55" s="49" t="s">
        <v>211</v>
      </c>
    </row>
    <row r="56" spans="1:16" ht="12.75" customHeight="1" thickBot="1">
      <c r="A56" s="15" t="str">
        <f t="shared" si="0"/>
        <v>VSB 53 </v>
      </c>
      <c r="B56" s="6" t="str">
        <f t="shared" si="1"/>
        <v>II</v>
      </c>
      <c r="C56" s="15">
        <f t="shared" si="2"/>
        <v>55570.028700000003</v>
      </c>
      <c r="D56" s="19" t="str">
        <f t="shared" si="3"/>
        <v>vis</v>
      </c>
      <c r="E56" s="45">
        <f>VLOOKUP(C56,Active!C$21:E$972,3,FALSE)</f>
        <v>16040.495287000538</v>
      </c>
      <c r="F56" s="6" t="s">
        <v>62</v>
      </c>
      <c r="G56" s="19" t="str">
        <f t="shared" si="4"/>
        <v>55570.0287</v>
      </c>
      <c r="H56" s="15">
        <f t="shared" si="5"/>
        <v>16040.5</v>
      </c>
      <c r="I56" s="46" t="s">
        <v>217</v>
      </c>
      <c r="J56" s="47" t="s">
        <v>218</v>
      </c>
      <c r="K56" s="46">
        <v>16040.5</v>
      </c>
      <c r="L56" s="46" t="s">
        <v>219</v>
      </c>
      <c r="M56" s="47" t="s">
        <v>199</v>
      </c>
      <c r="N56" s="47" t="s">
        <v>220</v>
      </c>
      <c r="O56" s="48" t="s">
        <v>216</v>
      </c>
      <c r="P56" s="49" t="s">
        <v>221</v>
      </c>
    </row>
    <row r="57" spans="1:16" ht="12.75" customHeight="1" thickBot="1">
      <c r="A57" s="15" t="str">
        <f t="shared" si="0"/>
        <v>VSB 59 </v>
      </c>
      <c r="B57" s="6" t="str">
        <f t="shared" si="1"/>
        <v>I</v>
      </c>
      <c r="C57" s="15">
        <f t="shared" si="2"/>
        <v>57005.123500000002</v>
      </c>
      <c r="D57" s="19" t="str">
        <f t="shared" si="3"/>
        <v>vis</v>
      </c>
      <c r="E57" s="45">
        <f>VLOOKUP(C57,Active!C$21:E$972,3,FALSE)</f>
        <v>16951.994959962085</v>
      </c>
      <c r="F57" s="6" t="s">
        <v>62</v>
      </c>
      <c r="G57" s="19" t="str">
        <f t="shared" si="4"/>
        <v>57005.1235</v>
      </c>
      <c r="H57" s="15">
        <f t="shared" si="5"/>
        <v>16952</v>
      </c>
      <c r="I57" s="46" t="s">
        <v>231</v>
      </c>
      <c r="J57" s="47" t="s">
        <v>232</v>
      </c>
      <c r="K57" s="46">
        <v>16952</v>
      </c>
      <c r="L57" s="46" t="s">
        <v>233</v>
      </c>
      <c r="M57" s="47" t="s">
        <v>199</v>
      </c>
      <c r="N57" s="47" t="s">
        <v>220</v>
      </c>
      <c r="O57" s="48" t="s">
        <v>216</v>
      </c>
      <c r="P57" s="49" t="s">
        <v>234</v>
      </c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</sheetData>
  <phoneticPr fontId="8" type="noConversion"/>
  <hyperlinks>
    <hyperlink ref="P51" r:id="rId1" display="http://www.bav-astro.de/sfs/BAVM_link.php?BAVMnr=56"/>
    <hyperlink ref="P52" r:id="rId2" display="http://www.bav-astro.de/sfs/BAVM_link.php?BAVMnr=59"/>
    <hyperlink ref="P12" r:id="rId3" display="http://www.konkoly.hu/cgi-bin/IBVS?5595"/>
    <hyperlink ref="P13" r:id="rId4" display="http://var.astro.cz/oejv/issues/oejv0074.pdf"/>
    <hyperlink ref="P53" r:id="rId5" display="http://vsolj.cetus-net.org/no45.pdf"/>
    <hyperlink ref="P54" r:id="rId6" display="http://vsolj.cetus-net.org/vsoljno50.pdf"/>
    <hyperlink ref="P55" r:id="rId7" display="http://vsolj.cetus-net.org/vsoljno50.pdf"/>
    <hyperlink ref="P56" r:id="rId8" display="http://vsolj.cetus-net.org/vsoljno53.pdf"/>
    <hyperlink ref="P14" r:id="rId9" display="http://var.astro.cz/oejv/issues/oejv0160.pdf"/>
    <hyperlink ref="P15" r:id="rId10" display="http://var.astro.cz/oejv/issues/oejv0160.pdf"/>
    <hyperlink ref="P57" r:id="rId11" display="http://vsolj.cetus-net.org/vsoljno59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>
      <selection activeCell="F22" sqref="F2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28</v>
      </c>
    </row>
    <row r="4" spans="1:4">
      <c r="A4" s="8" t="s">
        <v>1</v>
      </c>
      <c r="C4" s="3">
        <v>30315.35</v>
      </c>
      <c r="D4" s="4">
        <v>1.5744326</v>
      </c>
    </row>
    <row r="6" spans="1:4">
      <c r="A6" s="8" t="s">
        <v>2</v>
      </c>
    </row>
    <row r="7" spans="1:4">
      <c r="A7" t="s">
        <v>3</v>
      </c>
      <c r="C7">
        <f>+C4</f>
        <v>30315.35</v>
      </c>
    </row>
    <row r="8" spans="1:4">
      <c r="A8" t="s">
        <v>4</v>
      </c>
      <c r="C8">
        <f>+D4</f>
        <v>1.5744326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INTERCEPT(G21:G993,$F21:$F993)</f>
        <v>0</v>
      </c>
      <c r="D11" s="6"/>
    </row>
    <row r="12" spans="1:4">
      <c r="A12" t="s">
        <v>18</v>
      </c>
      <c r="C12">
        <f>SLOPE(G21:G993,$F21:$F993)</f>
        <v>1.1928495919136873E-4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5" t="s">
        <v>19</v>
      </c>
      <c r="C15">
        <f>+$C7+C11</f>
        <v>30315.35</v>
      </c>
    </row>
    <row r="16" spans="1:4">
      <c r="A16" s="8" t="s">
        <v>5</v>
      </c>
      <c r="C16">
        <f>+$C8+C12</f>
        <v>1.5745518849591913</v>
      </c>
    </row>
    <row r="17" spans="1:30" ht="13.5" thickBot="1"/>
    <row r="18" spans="1:30">
      <c r="A18" s="8" t="s">
        <v>6</v>
      </c>
      <c r="C18" s="3">
        <f>+C15</f>
        <v>30315.35</v>
      </c>
      <c r="D18" s="4">
        <f>+C16</f>
        <v>1.5745518849591913</v>
      </c>
    </row>
    <row r="19" spans="1:30" ht="13.5" thickTop="1"/>
    <row r="20" spans="1:30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36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30">
      <c r="A21" t="s">
        <v>13</v>
      </c>
      <c r="C21">
        <v>30315.35</v>
      </c>
      <c r="D21" s="6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15296.849999999999</v>
      </c>
    </row>
    <row r="22" spans="1:30">
      <c r="A22" t="s">
        <v>34</v>
      </c>
      <c r="C22" s="11">
        <v>42469.315999999999</v>
      </c>
      <c r="D22" s="6"/>
      <c r="E22">
        <f>+(C22-C$7)/C$8</f>
        <v>7719.5848205887005</v>
      </c>
      <c r="F22">
        <f>ROUND(2*E22,0)/2-0.5</f>
        <v>7719</v>
      </c>
      <c r="G22">
        <f>+C22-(C$7+F22*C$8)</f>
        <v>0.92076059999817517</v>
      </c>
      <c r="I22">
        <f>+G22</f>
        <v>0.92076059999817517</v>
      </c>
      <c r="O22">
        <f>+C$11+C$12*$F22</f>
        <v>0.92076059999817517</v>
      </c>
      <c r="Q22" s="2">
        <f>+C22-15018.5</f>
        <v>27450.815999999999</v>
      </c>
      <c r="AA22">
        <v>9</v>
      </c>
      <c r="AB22" t="s">
        <v>33</v>
      </c>
      <c r="AD22" t="s">
        <v>35</v>
      </c>
    </row>
    <row r="23" spans="1:30">
      <c r="D23" s="6"/>
      <c r="Q23" s="2"/>
    </row>
    <row r="24" spans="1:30">
      <c r="D24" s="6"/>
      <c r="Q24" s="2"/>
    </row>
    <row r="25" spans="1:30">
      <c r="D25" s="6"/>
      <c r="Q25" s="2"/>
    </row>
    <row r="26" spans="1:30">
      <c r="D26" s="6"/>
      <c r="Q26" s="2"/>
    </row>
    <row r="27" spans="1:30">
      <c r="D27" s="6"/>
      <c r="Q27" s="2"/>
    </row>
    <row r="28" spans="1:30">
      <c r="D28" s="6"/>
    </row>
    <row r="29" spans="1:30">
      <c r="D29" s="6"/>
    </row>
    <row r="30" spans="1:30">
      <c r="D30" s="6"/>
    </row>
    <row r="31" spans="1:30">
      <c r="D31" s="6"/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2023-01-19T05:25:28Z</dcterms:modified>
</cp:coreProperties>
</file>