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FC5FD34-DDE6-42EF-AF69-66EC5135C08E}" xr6:coauthVersionLast="47" xr6:coauthVersionMax="47" xr10:uidLastSave="{00000000-0000-0000-0000-000000000000}"/>
  <bookViews>
    <workbookView xWindow="13035" yWindow="660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M53" i="1" s="1"/>
  <c r="Q53" i="1"/>
  <c r="Q50" i="1"/>
  <c r="Q49" i="1"/>
  <c r="Q28" i="1"/>
  <c r="Q27" i="1"/>
  <c r="Q26" i="1"/>
  <c r="Q25" i="1"/>
  <c r="Q24" i="1"/>
  <c r="Q23" i="1"/>
  <c r="Q21" i="1"/>
  <c r="G32" i="2"/>
  <c r="C32" i="2"/>
  <c r="G31" i="2"/>
  <c r="C31" i="2"/>
  <c r="G41" i="2"/>
  <c r="C41" i="2"/>
  <c r="G40" i="2"/>
  <c r="C40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9" i="2"/>
  <c r="C39" i="2"/>
  <c r="G38" i="2"/>
  <c r="C38" i="2"/>
  <c r="E38" i="2"/>
  <c r="G37" i="2"/>
  <c r="C37" i="2"/>
  <c r="G36" i="2"/>
  <c r="C36" i="2"/>
  <c r="G35" i="2"/>
  <c r="C35" i="2"/>
  <c r="G34" i="2"/>
  <c r="C34" i="2"/>
  <c r="G33" i="2"/>
  <c r="C33" i="2"/>
  <c r="H32" i="2"/>
  <c r="B32" i="2"/>
  <c r="D32" i="2"/>
  <c r="A32" i="2"/>
  <c r="H31" i="2"/>
  <c r="D31" i="2"/>
  <c r="B31" i="2"/>
  <c r="A31" i="2"/>
  <c r="H41" i="2"/>
  <c r="B41" i="2"/>
  <c r="D41" i="2"/>
  <c r="A41" i="2"/>
  <c r="H40" i="2"/>
  <c r="D40" i="2"/>
  <c r="B40" i="2"/>
  <c r="A40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F11" i="1"/>
  <c r="Q52" i="1"/>
  <c r="Q51" i="1"/>
  <c r="G11" i="1"/>
  <c r="E14" i="1"/>
  <c r="E15" i="1" s="1"/>
  <c r="C17" i="1"/>
  <c r="Q4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C8" i="1"/>
  <c r="C7" i="1"/>
  <c r="E27" i="1"/>
  <c r="F27" i="1"/>
  <c r="Q22" i="1"/>
  <c r="E11" i="2"/>
  <c r="E18" i="2"/>
  <c r="E23" i="2"/>
  <c r="E34" i="2"/>
  <c r="E17" i="2"/>
  <c r="E30" i="2"/>
  <c r="E37" i="2"/>
  <c r="E33" i="2"/>
  <c r="E32" i="2"/>
  <c r="E46" i="1"/>
  <c r="F46" i="1"/>
  <c r="G40" i="1"/>
  <c r="I40" i="1"/>
  <c r="E38" i="1"/>
  <c r="F38" i="1"/>
  <c r="E30" i="1"/>
  <c r="F30" i="1"/>
  <c r="G26" i="1"/>
  <c r="L26" i="1"/>
  <c r="E24" i="1"/>
  <c r="F24" i="1"/>
  <c r="E22" i="1"/>
  <c r="F22" i="1"/>
  <c r="E43" i="1"/>
  <c r="F43" i="1"/>
  <c r="E35" i="1"/>
  <c r="F35" i="1"/>
  <c r="E49" i="1"/>
  <c r="F49" i="1"/>
  <c r="E48" i="1"/>
  <c r="F48" i="1"/>
  <c r="G48" i="1"/>
  <c r="J48" i="1"/>
  <c r="E40" i="1"/>
  <c r="F40" i="1"/>
  <c r="E32" i="1"/>
  <c r="F32" i="1"/>
  <c r="G32" i="1"/>
  <c r="I32" i="1"/>
  <c r="E26" i="1"/>
  <c r="F26" i="1"/>
  <c r="E45" i="1"/>
  <c r="F45" i="1"/>
  <c r="G45" i="1"/>
  <c r="I45" i="1"/>
  <c r="G39" i="1"/>
  <c r="I39" i="1"/>
  <c r="E37" i="1"/>
  <c r="F37" i="1"/>
  <c r="G37" i="1"/>
  <c r="I37" i="1"/>
  <c r="E29" i="1"/>
  <c r="F29" i="1"/>
  <c r="G29" i="1"/>
  <c r="I29" i="1"/>
  <c r="G25" i="1"/>
  <c r="L25" i="1"/>
  <c r="E23" i="1"/>
  <c r="F23" i="1"/>
  <c r="G23" i="1"/>
  <c r="L23" i="1"/>
  <c r="E52" i="1"/>
  <c r="F52" i="1"/>
  <c r="G52" i="1"/>
  <c r="K52" i="1"/>
  <c r="E42" i="1"/>
  <c r="F42" i="1"/>
  <c r="G42" i="1"/>
  <c r="I42" i="1"/>
  <c r="E34" i="1"/>
  <c r="F34" i="1"/>
  <c r="G34" i="1"/>
  <c r="I34" i="1"/>
  <c r="E28" i="1"/>
  <c r="F28" i="1"/>
  <c r="G28" i="1"/>
  <c r="L28" i="1"/>
  <c r="G21" i="1"/>
  <c r="E47" i="1"/>
  <c r="F47" i="1"/>
  <c r="G47" i="1"/>
  <c r="I47" i="1"/>
  <c r="G41" i="1"/>
  <c r="I41" i="1"/>
  <c r="E39" i="1"/>
  <c r="F39" i="1"/>
  <c r="E31" i="1"/>
  <c r="F31" i="1"/>
  <c r="G31" i="1"/>
  <c r="I31" i="1"/>
  <c r="G27" i="1"/>
  <c r="L27" i="1"/>
  <c r="E25" i="1"/>
  <c r="F25" i="1"/>
  <c r="G46" i="1"/>
  <c r="I46" i="1"/>
  <c r="E44" i="1"/>
  <c r="F44" i="1"/>
  <c r="G44" i="1"/>
  <c r="I44" i="1"/>
  <c r="G38" i="1"/>
  <c r="I38" i="1"/>
  <c r="E36" i="1"/>
  <c r="F36" i="1"/>
  <c r="G36" i="1"/>
  <c r="I36" i="1"/>
  <c r="G30" i="1"/>
  <c r="I30" i="1"/>
  <c r="E50" i="1"/>
  <c r="F50" i="1"/>
  <c r="G50" i="1"/>
  <c r="L50" i="1"/>
  <c r="G24" i="1"/>
  <c r="L24" i="1"/>
  <c r="E21" i="1"/>
  <c r="F21" i="1"/>
  <c r="E51" i="1"/>
  <c r="F51" i="1"/>
  <c r="G51" i="1"/>
  <c r="J51" i="1"/>
  <c r="G43" i="1"/>
  <c r="I43" i="1"/>
  <c r="E41" i="1"/>
  <c r="F41" i="1"/>
  <c r="G35" i="1"/>
  <c r="I35" i="1"/>
  <c r="E33" i="1"/>
  <c r="F33" i="1"/>
  <c r="G33" i="1"/>
  <c r="I33" i="1"/>
  <c r="G49" i="1"/>
  <c r="L49" i="1"/>
  <c r="E25" i="2"/>
  <c r="E27" i="2"/>
  <c r="E13" i="2"/>
  <c r="E16" i="2"/>
  <c r="L21" i="1"/>
  <c r="E22" i="2"/>
  <c r="E14" i="2"/>
  <c r="E36" i="2"/>
  <c r="E29" i="2"/>
  <c r="E40" i="2"/>
  <c r="E21" i="2"/>
  <c r="E26" i="2"/>
  <c r="E19" i="2"/>
  <c r="E12" i="2"/>
  <c r="E41" i="2"/>
  <c r="E31" i="2"/>
  <c r="E24" i="2"/>
  <c r="E15" i="2"/>
  <c r="E20" i="2"/>
  <c r="E35" i="2"/>
  <c r="E28" i="2"/>
  <c r="E39" i="2"/>
  <c r="C11" i="1"/>
  <c r="C12" i="1" l="1"/>
  <c r="O53" i="1" l="1"/>
  <c r="C16" i="1"/>
  <c r="D18" i="1" s="1"/>
  <c r="O29" i="1"/>
  <c r="O26" i="1"/>
  <c r="O21" i="1"/>
  <c r="O51" i="1"/>
  <c r="O40" i="1"/>
  <c r="O32" i="1"/>
  <c r="O41" i="1"/>
  <c r="O25" i="1"/>
  <c r="O24" i="1"/>
  <c r="O27" i="1"/>
  <c r="O35" i="1"/>
  <c r="O50" i="1"/>
  <c r="O23" i="1"/>
  <c r="O30" i="1"/>
  <c r="O36" i="1"/>
  <c r="O22" i="1"/>
  <c r="O28" i="1"/>
  <c r="O37" i="1"/>
  <c r="O31" i="1"/>
  <c r="O46" i="1"/>
  <c r="O33" i="1"/>
  <c r="O44" i="1"/>
  <c r="O38" i="1"/>
  <c r="O34" i="1"/>
  <c r="C15" i="1"/>
  <c r="O42" i="1"/>
  <c r="O52" i="1"/>
  <c r="O47" i="1"/>
  <c r="O43" i="1"/>
  <c r="O48" i="1"/>
  <c r="O49" i="1"/>
  <c r="O45" i="1"/>
  <c r="O39" i="1"/>
  <c r="E16" i="1" l="1"/>
  <c r="E17" i="1" s="1"/>
  <c r="C18" i="1"/>
</calcChain>
</file>

<file path=xl/sharedStrings.xml><?xml version="1.0" encoding="utf-8"?>
<sst xmlns="http://schemas.openxmlformats.org/spreadsheetml/2006/main" count="381" uniqueCount="209">
  <si>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</si>
  <si>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</si>
  <si>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</si>
  <si>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</si>
  <si>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</si>
  <si>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</si>
  <si>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</si>
  <si>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</si>
  <si>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</si>
  <si>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</si>
  <si>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</si>
  <si>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</si>
  <si>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</si>
  <si>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</si>
  <si>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</si>
  <si>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</si>
  <si>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</si>
  <si>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</si>
  <si>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</si>
  <si>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</si>
  <si>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</si>
  <si>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</si>
  <si>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</si>
  <si>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</si>
  <si>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</si>
  <si>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</si>
  <si>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Misc</t>
  </si>
  <si>
    <t>Locher K</t>
  </si>
  <si>
    <t>BBSAG Bull.15</t>
  </si>
  <si>
    <t>B</t>
  </si>
  <si>
    <t>v</t>
  </si>
  <si>
    <t>BBSAG Bull.22</t>
  </si>
  <si>
    <t>BBSAG Bull.23</t>
  </si>
  <si>
    <t>Diethelm R</t>
  </si>
  <si>
    <t>BBSAG Bull.28</t>
  </si>
  <si>
    <t>Parris A</t>
  </si>
  <si>
    <t>BBSAG Bull.44</t>
  </si>
  <si>
    <t>Stoikidis N</t>
  </si>
  <si>
    <t>Peter H</t>
  </si>
  <si>
    <t>BBSAG Bull.61</t>
  </si>
  <si>
    <t>BBSAG Bull.62</t>
  </si>
  <si>
    <t>Germann R</t>
  </si>
  <si>
    <t>BBSAG Bull.67</t>
  </si>
  <si>
    <t>BBSAG Bull.95</t>
  </si>
  <si>
    <t>BBSAG Bull.102</t>
  </si>
  <si>
    <t>BBSAG Bull.107</t>
  </si>
  <si>
    <t>IBVS 5296</t>
  </si>
  <si>
    <t>BBSAG</t>
  </si>
  <si>
    <t>IBVS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</si>
  <si>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</si>
  <si>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</si>
  <si>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</si>
  <si>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</si>
  <si>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</si>
  <si>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</si>
  <si>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</si>
  <si>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</si>
  <si>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</si>
  <si>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</si>
  <si>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</si>
  <si>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IBVS 6010</t>
  </si>
  <si>
    <t>I</t>
  </si>
  <si>
    <t>OEJV 0160</t>
  </si>
  <si>
    <t>OEJV</t>
  </si>
  <si>
    <t>V0735 Oph / GSC 00981-01832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</si>
  <si>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</si>
  <si>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</si>
  <si>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</si>
  <si>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</si>
  <si>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</si>
  <si>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</si>
  <si>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</si>
  <si>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</si>
  <si>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</si>
  <si>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</si>
  <si>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</si>
  <si>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2426894.428 </t>
  </si>
  <si>
    <t> 05.07.1932 22:16 </t>
  </si>
  <si>
    <t> -0.089 </t>
  </si>
  <si>
    <t>P </t>
  </si>
  <si>
    <t> H.U.Sandig </t>
  </si>
  <si>
    <t> AN 276.176 </t>
  </si>
  <si>
    <t>2427596.465 </t>
  </si>
  <si>
    <t> 07.06.1934 23:09 </t>
  </si>
  <si>
    <t> 0.008 </t>
  </si>
  <si>
    <t>2428016.444 </t>
  </si>
  <si>
    <t> 01.08.1935 22:39 </t>
  </si>
  <si>
    <t> 0.106 </t>
  </si>
  <si>
    <t>2429516.407 </t>
  </si>
  <si>
    <t> 09.09.1939 21:46 </t>
  </si>
  <si>
    <t> 0.034 </t>
  </si>
  <si>
    <t>2430904.292 </t>
  </si>
  <si>
    <t> 28.06.1943 19:00 </t>
  </si>
  <si>
    <t> 0.066 </t>
  </si>
  <si>
    <t>V </t>
  </si>
  <si>
    <t> W.Zessewitsch </t>
  </si>
  <si>
    <t> IODE 4.2.239 </t>
  </si>
  <si>
    <t>2431231.196 </t>
  </si>
  <si>
    <t> 20.05.1944 16:42 </t>
  </si>
  <si>
    <t> 0.039 </t>
  </si>
  <si>
    <t>2431231.204 </t>
  </si>
  <si>
    <t> 20.05.1944 16:53 </t>
  </si>
  <si>
    <t> 0.047 </t>
  </si>
  <si>
    <t> S.Piotrowski </t>
  </si>
  <si>
    <t> SAC 18.62 </t>
  </si>
  <si>
    <t>2442170.514 </t>
  </si>
  <si>
    <t> 03.05.1974 00:20 </t>
  </si>
  <si>
    <t> -0.001 </t>
  </si>
  <si>
    <t> K.Locher </t>
  </si>
  <si>
    <t> BBS 15 </t>
  </si>
  <si>
    <t>2442516.658 </t>
  </si>
  <si>
    <t> 14.04.1975 03:47 </t>
  </si>
  <si>
    <t> -0.019 </t>
  </si>
  <si>
    <t> BBS 22 </t>
  </si>
  <si>
    <t>2442561.551 </t>
  </si>
  <si>
    <t> 29.05.1975 01:13 </t>
  </si>
  <si>
    <t> 0.001 </t>
  </si>
  <si>
    <t>2442577.566 </t>
  </si>
  <si>
    <t> 14.06.1975 01:35 </t>
  </si>
  <si>
    <t> -0.010 </t>
  </si>
  <si>
    <t> BBS 23 </t>
  </si>
  <si>
    <t>2442606.416 </t>
  </si>
  <si>
    <t> 12.07.1975 21:59 </t>
  </si>
  <si>
    <t> -0.007 </t>
  </si>
  <si>
    <t> R.Diethelm </t>
  </si>
  <si>
    <t>2442622.456 </t>
  </si>
  <si>
    <t> 28.07.1975 22:56 </t>
  </si>
  <si>
    <t> 0.007 </t>
  </si>
  <si>
    <t>2442904.510 </t>
  </si>
  <si>
    <t> 06.05.1976 00:14 </t>
  </si>
  <si>
    <t> 0.003 </t>
  </si>
  <si>
    <t> BBS 28 </t>
  </si>
  <si>
    <t>2444058.382 </t>
  </si>
  <si>
    <t> 03.07.1979 21:10 </t>
  </si>
  <si>
    <t> 0.002 </t>
  </si>
  <si>
    <t> A.Parris </t>
  </si>
  <si>
    <t> BBS 44 </t>
  </si>
  <si>
    <t>2444058.386 </t>
  </si>
  <si>
    <t> 03.07.1979 21:15 </t>
  </si>
  <si>
    <t> 0.006 </t>
  </si>
  <si>
    <t> N.Stoikidis </t>
  </si>
  <si>
    <t>2444090.443 </t>
  </si>
  <si>
    <t> 04.08.1979 22:37 </t>
  </si>
  <si>
    <t> 0.011 </t>
  </si>
  <si>
    <t> H.Peter </t>
  </si>
  <si>
    <t>2445122.489 </t>
  </si>
  <si>
    <t> 01.06.1982 23:44 </t>
  </si>
  <si>
    <t> BBS 61 </t>
  </si>
  <si>
    <t>2445135.342 </t>
  </si>
  <si>
    <t> 14.06.1982 20:12 </t>
  </si>
  <si>
    <t> 0.014 </t>
  </si>
  <si>
    <t>2445183.433 </t>
  </si>
  <si>
    <t> 01.08.1982 22:23 </t>
  </si>
  <si>
    <t> 0.027 </t>
  </si>
  <si>
    <t> BBS 62 </t>
  </si>
  <si>
    <t>2445228.294 </t>
  </si>
  <si>
    <t> 15.09.1982 19:03 </t>
  </si>
  <si>
    <t> 0.015 </t>
  </si>
  <si>
    <t> R.Germann </t>
  </si>
  <si>
    <t>2445542.387 </t>
  </si>
  <si>
    <t> 26.07.1983 21:17 </t>
  </si>
  <si>
    <t> -0.002 </t>
  </si>
  <si>
    <t> BBS 67 </t>
  </si>
  <si>
    <t>2448010.435 </t>
  </si>
  <si>
    <t> 28.04.1990 22:26 </t>
  </si>
  <si>
    <t> BBS 95 </t>
  </si>
  <si>
    <t>2448042.472 </t>
  </si>
  <si>
    <t> 30.05.1990 23:19 </t>
  </si>
  <si>
    <t> 0.024 </t>
  </si>
  <si>
    <t>2448853.388 </t>
  </si>
  <si>
    <t> 18.08.1992 21:18 </t>
  </si>
  <si>
    <t> BBS 102 </t>
  </si>
  <si>
    <t>2449587.395 </t>
  </si>
  <si>
    <t> 22.08.1994 21:28 </t>
  </si>
  <si>
    <t> BBS 107 </t>
  </si>
  <si>
    <t>2451680.4248 </t>
  </si>
  <si>
    <t> 15.05.2000 22:11 </t>
  </si>
  <si>
    <t> 0.0715 </t>
  </si>
  <si>
    <t>E </t>
  </si>
  <si>
    <t>o</t>
  </si>
  <si>
    <t> D.Husar </t>
  </si>
  <si>
    <t>BAVM 152 </t>
  </si>
  <si>
    <t>2453190.0897 </t>
  </si>
  <si>
    <t> 03.07.2004 14:09 </t>
  </si>
  <si>
    <t> 0.0856 </t>
  </si>
  <si>
    <t>?</t>
  </si>
  <si>
    <t> Nakajima </t>
  </si>
  <si>
    <t>VSB 43 </t>
  </si>
  <si>
    <t>2454709.3402 </t>
  </si>
  <si>
    <t> 30.08.2008 20:09 </t>
  </si>
  <si>
    <t> 0.0698 </t>
  </si>
  <si>
    <t>C </t>
  </si>
  <si>
    <t>-I</t>
  </si>
  <si>
    <t> F.Agerer </t>
  </si>
  <si>
    <t>BAVM 203 </t>
  </si>
  <si>
    <t>2455305.4953 </t>
  </si>
  <si>
    <t> 18.04.2010 23:53 </t>
  </si>
  <si>
    <t>8864</t>
  </si>
  <si>
    <t> 0.0571 </t>
  </si>
  <si>
    <t> M.&amp; K.Rätz </t>
  </si>
  <si>
    <t>BAVM 220 </t>
  </si>
  <si>
    <t>2456132.41909 </t>
  </si>
  <si>
    <t> 23.07.2012 22:03 </t>
  </si>
  <si>
    <t>9122</t>
  </si>
  <si>
    <t> 0.03850 </t>
  </si>
  <si>
    <t> J.Trnka </t>
  </si>
  <si>
    <t>OEJV 0160 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</si>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</sst>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V735 Oph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C5-4A24-BB77-F7F10E861A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8">
                  <c:v>-1.4511999979731627E-3</c:v>
                </c:pt>
                <c:pt idx="9">
                  <c:v>-1.9396799994865432E-2</c:v>
                </c:pt>
                <c:pt idx="10">
                  <c:v>7.5839999772142619E-4</c:v>
                </c:pt>
                <c:pt idx="11">
                  <c:v>-1.0257599999022204E-2</c:v>
                </c:pt>
                <c:pt idx="12">
                  <c:v>-7.0864000008441508E-3</c:v>
                </c:pt>
                <c:pt idx="13">
                  <c:v>6.8975999965914525E-3</c:v>
                </c:pt>
                <c:pt idx="14">
                  <c:v>3.0160000023897737E-3</c:v>
                </c:pt>
                <c:pt idx="15">
                  <c:v>1.8639999980223365E-3</c:v>
                </c:pt>
                <c:pt idx="16">
                  <c:v>5.8639999988372438E-3</c:v>
                </c:pt>
                <c:pt idx="17">
                  <c:v>1.083199999993667E-2</c:v>
                </c:pt>
                <c:pt idx="18">
                  <c:v>-1.8598399998154491E-2</c:v>
                </c:pt>
                <c:pt idx="19">
                  <c:v>1.3588800000434276E-2</c:v>
                </c:pt>
                <c:pt idx="20">
                  <c:v>2.6540799997746944E-2</c:v>
                </c:pt>
                <c:pt idx="21">
                  <c:v>1.4696000005642418E-2</c:v>
                </c:pt>
                <c:pt idx="22">
                  <c:v>-2.2175999984028749E-3</c:v>
                </c:pt>
                <c:pt idx="23">
                  <c:v>3.9318399998592213E-2</c:v>
                </c:pt>
                <c:pt idx="24">
                  <c:v>2.4286399995617103E-2</c:v>
                </c:pt>
                <c:pt idx="25">
                  <c:v>2.3876799998106435E-2</c:v>
                </c:pt>
                <c:pt idx="26">
                  <c:v>3.9343999997072387E-2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C5-4A24-BB77-F7F10E861A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7">
                  <c:v>7.145440000022063E-2</c:v>
                </c:pt>
                <c:pt idx="30">
                  <c:v>5.7135200004267972E-2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C5-4A24-BB77-F7F10E861A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1">
                  <c:v>3.8499599999340717E-2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C5-4A24-BB77-F7F10E861A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0">
                  <c:v>-8.8999999999941792E-2</c:v>
                </c:pt>
                <c:pt idx="2">
                  <c:v>8.4992000010970514E-3</c:v>
                </c:pt>
                <c:pt idx="3">
                  <c:v>0.10587999999916065</c:v>
                </c:pt>
                <c:pt idx="4">
                  <c:v>3.3782399998017354E-2</c:v>
                </c:pt>
                <c:pt idx="5">
                  <c:v>6.5796800001407973E-2</c:v>
                </c:pt>
                <c:pt idx="6">
                  <c:v>3.9070399998308858E-2</c:v>
                </c:pt>
                <c:pt idx="7">
                  <c:v>4.7070399999938672E-2</c:v>
                </c:pt>
                <c:pt idx="28">
                  <c:v>8.5647199994127732E-2</c:v>
                </c:pt>
                <c:pt idx="29">
                  <c:v>6.9830399996135384E-2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C5-4A24-BB77-F7F10E861A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32">
                  <c:v>-2.2519199999806006E-2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C5-4A24-BB77-F7F10E861A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5">
                    <c:v>5.0000000000000001E-3</c:v>
                  </c:pt>
                  <c:pt idx="26">
                    <c:v>6.0000000000000001E-3</c:v>
                  </c:pt>
                  <c:pt idx="27">
                    <c:v>3.5000000000000001E-3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C5-4A24-BB77-F7F10E861A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219</c:v>
                </c:pt>
                <c:pt idx="3">
                  <c:v>350</c:v>
                </c:pt>
                <c:pt idx="4">
                  <c:v>818</c:v>
                </c:pt>
                <c:pt idx="5">
                  <c:v>1251</c:v>
                </c:pt>
                <c:pt idx="6">
                  <c:v>1353</c:v>
                </c:pt>
                <c:pt idx="7">
                  <c:v>1353</c:v>
                </c:pt>
                <c:pt idx="8">
                  <c:v>4766</c:v>
                </c:pt>
                <c:pt idx="9">
                  <c:v>4874</c:v>
                </c:pt>
                <c:pt idx="10">
                  <c:v>4888</c:v>
                </c:pt>
                <c:pt idx="11">
                  <c:v>4893</c:v>
                </c:pt>
                <c:pt idx="12">
                  <c:v>4902</c:v>
                </c:pt>
                <c:pt idx="13">
                  <c:v>4907</c:v>
                </c:pt>
                <c:pt idx="14">
                  <c:v>4995</c:v>
                </c:pt>
                <c:pt idx="15">
                  <c:v>5355</c:v>
                </c:pt>
                <c:pt idx="16">
                  <c:v>5355</c:v>
                </c:pt>
                <c:pt idx="17">
                  <c:v>5365</c:v>
                </c:pt>
                <c:pt idx="18">
                  <c:v>5687</c:v>
                </c:pt>
                <c:pt idx="19">
                  <c:v>5691</c:v>
                </c:pt>
                <c:pt idx="20">
                  <c:v>5706</c:v>
                </c:pt>
                <c:pt idx="21">
                  <c:v>5720</c:v>
                </c:pt>
                <c:pt idx="22">
                  <c:v>5818</c:v>
                </c:pt>
                <c:pt idx="23">
                  <c:v>6588</c:v>
                </c:pt>
                <c:pt idx="24">
                  <c:v>6598</c:v>
                </c:pt>
                <c:pt idx="25">
                  <c:v>6851</c:v>
                </c:pt>
                <c:pt idx="26">
                  <c:v>7080</c:v>
                </c:pt>
                <c:pt idx="27">
                  <c:v>7733</c:v>
                </c:pt>
                <c:pt idx="28">
                  <c:v>8204</c:v>
                </c:pt>
                <c:pt idx="29">
                  <c:v>8678</c:v>
                </c:pt>
                <c:pt idx="30">
                  <c:v>8864</c:v>
                </c:pt>
                <c:pt idx="31">
                  <c:v>9122</c:v>
                </c:pt>
                <c:pt idx="32">
                  <c:v>10131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1.240500705243618E-2</c:v>
                </c:pt>
                <c:pt idx="1">
                  <c:v>1.240500705243618E-2</c:v>
                </c:pt>
                <c:pt idx="2">
                  <c:v>1.2760047899246505E-2</c:v>
                </c:pt>
                <c:pt idx="3">
                  <c:v>1.2972423930900171E-2</c:v>
                </c:pt>
                <c:pt idx="4">
                  <c:v>1.3731141356960595E-2</c:v>
                </c:pt>
                <c:pt idx="5">
                  <c:v>1.4433117095174619E-2</c:v>
                </c:pt>
                <c:pt idx="6">
                  <c:v>1.4598478585469839E-2</c:v>
                </c:pt>
                <c:pt idx="7">
                  <c:v>1.4598478585469839E-2</c:v>
                </c:pt>
                <c:pt idx="8">
                  <c:v>2.0131603746034423E-2</c:v>
                </c:pt>
                <c:pt idx="9">
                  <c:v>2.0306692382817598E-2</c:v>
                </c:pt>
                <c:pt idx="10">
                  <c:v>2.0329389057956157E-2</c:v>
                </c:pt>
                <c:pt idx="11">
                  <c:v>2.0337495013362787E-2</c:v>
                </c:pt>
                <c:pt idx="12">
                  <c:v>2.0352085733094716E-2</c:v>
                </c:pt>
                <c:pt idx="13">
                  <c:v>2.0360191688501346E-2</c:v>
                </c:pt>
                <c:pt idx="14">
                  <c:v>2.0502856503658008E-2</c:v>
                </c:pt>
                <c:pt idx="15">
                  <c:v>2.1086485292935254E-2</c:v>
                </c:pt>
                <c:pt idx="16">
                  <c:v>2.1086485292935254E-2</c:v>
                </c:pt>
                <c:pt idx="17">
                  <c:v>2.1102697203748515E-2</c:v>
                </c:pt>
                <c:pt idx="18">
                  <c:v>2.1624720731935387E-2</c:v>
                </c:pt>
                <c:pt idx="19">
                  <c:v>2.1631205496260686E-2</c:v>
                </c:pt>
                <c:pt idx="20">
                  <c:v>2.1655523362480573E-2</c:v>
                </c:pt>
                <c:pt idx="21">
                  <c:v>2.1678220037619135E-2</c:v>
                </c:pt>
                <c:pt idx="22">
                  <c:v>2.183709676358905E-2</c:v>
                </c:pt>
                <c:pt idx="23">
                  <c:v>2.3085413896209835E-2</c:v>
                </c:pt>
                <c:pt idx="24">
                  <c:v>2.3101625807023088E-2</c:v>
                </c:pt>
                <c:pt idx="25">
                  <c:v>2.3511787150598491E-2</c:v>
                </c:pt>
                <c:pt idx="26">
                  <c:v>2.3883039908222072E-2</c:v>
                </c:pt>
                <c:pt idx="27">
                  <c:v>2.494167768432775E-2</c:v>
                </c:pt>
                <c:pt idx="28">
                  <c:v>2.5705258683632149E-2</c:v>
                </c:pt>
                <c:pt idx="29">
                  <c:v>2.6473703256180529E-2</c:v>
                </c:pt>
                <c:pt idx="30">
                  <c:v>2.6775244797307106E-2</c:v>
                </c:pt>
                <c:pt idx="31">
                  <c:v>2.7193512096289132E-2</c:v>
                </c:pt>
                <c:pt idx="32">
                  <c:v>2.8829293897346755E-2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C5-4A24-BB77-F7F10E86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353336"/>
        <c:axId val="1"/>
      </c:scatterChart>
      <c:valAx>
        <c:axId val="833353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35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8616732825751"/>
          <c:y val="0.859375"/>
          <c:w val="0.76446367757749289"/>
          <c:h val="0.121874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13</xdr:col>
      <xdr:colOff>47625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EBFB5A-4003-8C86-A6E4-771E44B92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vsolj.cetus-net.org/no43.pdf" TargetMode="External"/><Relationship Id="rId1" Type="http://schemas.openxmlformats.org/officeDocument/2006/relationships/hyperlink" Target="http://www.bav-astro.de/sfs/BAVM_link.php?BAVMnr=152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564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64</v>
      </c>
    </row>
    <row r="2" spans="1:7" x14ac:dyDescent="0.2">
      <c r="A2" t="s">
        <v>24</v>
      </c>
      <c r="B2" s="10" t="s">
        <v>49</v>
      </c>
    </row>
    <row r="4" spans="1:7" x14ac:dyDescent="0.2">
      <c r="A4" s="6" t="s">
        <v>0</v>
      </c>
      <c r="C4" s="3">
        <v>26894.517</v>
      </c>
      <c r="D4" s="4">
        <v>3.2052032000000001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26894.517</v>
      </c>
    </row>
    <row r="8" spans="1:7" x14ac:dyDescent="0.2">
      <c r="A8" t="s">
        <v>3</v>
      </c>
      <c r="C8">
        <f>+D4</f>
        <v>3.2052032000000001</v>
      </c>
    </row>
    <row r="9" spans="1:7" x14ac:dyDescent="0.2">
      <c r="A9" s="13" t="s">
        <v>51</v>
      </c>
      <c r="B9" s="14"/>
      <c r="C9" s="15">
        <v>-9.5</v>
      </c>
      <c r="D9" s="14" t="s">
        <v>52</v>
      </c>
      <c r="E9" s="14"/>
    </row>
    <row r="10" spans="1:7" ht="13.5" thickBot="1" x14ac:dyDescent="0.25">
      <c r="A10" s="14"/>
      <c r="B10" s="14"/>
      <c r="C10" s="5" t="s">
        <v>20</v>
      </c>
      <c r="D10" s="5" t="s">
        <v>21</v>
      </c>
      <c r="E10" s="14"/>
    </row>
    <row r="11" spans="1:7" x14ac:dyDescent="0.2">
      <c r="A11" s="14" t="s">
        <v>16</v>
      </c>
      <c r="B11" s="14"/>
      <c r="C11" s="27">
        <f ca="1">INTERCEPT(INDIRECT($G$11):G992,INDIRECT($F$11):F992)</f>
        <v>1.240500705243618E-2</v>
      </c>
      <c r="D11" s="16"/>
      <c r="E11" s="14"/>
      <c r="F11" s="28" t="str">
        <f>"F"&amp;E19</f>
        <v>F21</v>
      </c>
      <c r="G11" s="9" t="str">
        <f>"G"&amp;E19</f>
        <v>G21</v>
      </c>
    </row>
    <row r="12" spans="1:7" x14ac:dyDescent="0.2">
      <c r="A12" s="14" t="s">
        <v>17</v>
      </c>
      <c r="B12" s="14"/>
      <c r="C12" s="27">
        <f ca="1">SLOPE(INDIRECT($G$11):G992,INDIRECT($F$11):F992)</f>
        <v>1.6211910813256911E-6</v>
      </c>
      <c r="D12" s="16"/>
      <c r="E12" s="14"/>
    </row>
    <row r="13" spans="1:7" x14ac:dyDescent="0.2">
      <c r="A13" s="14" t="s">
        <v>19</v>
      </c>
      <c r="B13" s="14"/>
      <c r="C13" s="16" t="s">
        <v>14</v>
      </c>
      <c r="D13" s="19" t="s">
        <v>57</v>
      </c>
      <c r="E13" s="15">
        <v>1</v>
      </c>
    </row>
    <row r="14" spans="1:7" x14ac:dyDescent="0.2">
      <c r="A14" s="14"/>
      <c r="B14" s="14"/>
      <c r="C14" s="14"/>
      <c r="D14" s="19" t="s">
        <v>53</v>
      </c>
      <c r="E14" s="20">
        <f ca="1">NOW()+15018.5+$C$9/24</f>
        <v>59964.821684953698</v>
      </c>
    </row>
    <row r="15" spans="1:7" x14ac:dyDescent="0.2">
      <c r="A15" s="17" t="s">
        <v>18</v>
      </c>
      <c r="B15" s="14"/>
      <c r="C15" s="18">
        <f ca="1">(C7+C11)+(C8+C12)*INT(MAX(F21:F3533))</f>
        <v>59366.459448493901</v>
      </c>
      <c r="D15" s="19" t="s">
        <v>58</v>
      </c>
      <c r="E15" s="20">
        <f ca="1">ROUND(2*(E14-$C$7)/$C$8,0)/2+E13</f>
        <v>10318.5</v>
      </c>
    </row>
    <row r="16" spans="1:7" x14ac:dyDescent="0.2">
      <c r="A16" s="21" t="s">
        <v>4</v>
      </c>
      <c r="B16" s="14"/>
      <c r="C16" s="22">
        <f ca="1">+C8+C12</f>
        <v>3.2052048211910815</v>
      </c>
      <c r="D16" s="19" t="s">
        <v>54</v>
      </c>
      <c r="E16" s="9">
        <f ca="1">ROUND(2*(E14-$C$15)/$C$16,0)/2+E13</f>
        <v>187.5</v>
      </c>
    </row>
    <row r="17" spans="1:32" ht="13.5" thickBot="1" x14ac:dyDescent="0.25">
      <c r="A17" s="19" t="s">
        <v>50</v>
      </c>
      <c r="B17" s="14"/>
      <c r="C17" s="14">
        <f>COUNT(C21:C2191)</f>
        <v>33</v>
      </c>
      <c r="D17" s="19" t="s">
        <v>55</v>
      </c>
      <c r="E17" s="23">
        <f ca="1">+$C$15+$C$16*E16-15018.5-$C$9/24</f>
        <v>44949.331185800562</v>
      </c>
    </row>
    <row r="18" spans="1:32" x14ac:dyDescent="0.2">
      <c r="A18" s="21" t="s">
        <v>5</v>
      </c>
      <c r="B18" s="14"/>
      <c r="C18" s="24">
        <f ca="1">+C15</f>
        <v>59366.459448493901</v>
      </c>
      <c r="D18" s="25">
        <f ca="1">+C16</f>
        <v>3.2052048211910815</v>
      </c>
      <c r="E18" s="26" t="s">
        <v>56</v>
      </c>
    </row>
    <row r="19" spans="1:32" ht="13.5" thickTop="1" x14ac:dyDescent="0.2">
      <c r="A19" s="29" t="s">
        <v>59</v>
      </c>
      <c r="E19" s="30">
        <v>21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47</v>
      </c>
      <c r="J20" s="8" t="s">
        <v>48</v>
      </c>
      <c r="K20" s="8" t="s">
        <v>63</v>
      </c>
      <c r="L20" s="8" t="s">
        <v>25</v>
      </c>
      <c r="M20" s="8" t="s">
        <v>208</v>
      </c>
      <c r="N20" s="8" t="s">
        <v>26</v>
      </c>
      <c r="O20" s="8" t="s">
        <v>23</v>
      </c>
      <c r="P20" s="7" t="s">
        <v>22</v>
      </c>
      <c r="Q20" s="5" t="s">
        <v>15</v>
      </c>
    </row>
    <row r="21" spans="1:32" x14ac:dyDescent="0.2">
      <c r="A21" s="53" t="s">
        <v>81</v>
      </c>
      <c r="B21" s="55" t="s">
        <v>61</v>
      </c>
      <c r="C21" s="54">
        <v>26894.428</v>
      </c>
      <c r="D21" s="12"/>
      <c r="E21">
        <f t="shared" ref="E21:E52" si="0">+(C21-C$7)/C$8</f>
        <v>-2.7767350288412849E-2</v>
      </c>
      <c r="F21">
        <f t="shared" ref="F21:F52" si="1">ROUND(2*E21,0)/2</f>
        <v>0</v>
      </c>
      <c r="G21">
        <f>+C21-(C$7+F21*C$8)</f>
        <v>-8.8999999999941792E-2</v>
      </c>
      <c r="L21">
        <f>+G21</f>
        <v>-8.8999999999941792E-2</v>
      </c>
      <c r="O21">
        <f t="shared" ref="O21:O52" ca="1" si="2">+C$11+C$12*$F21</f>
        <v>1.240500705243618E-2</v>
      </c>
      <c r="Q21" s="2">
        <f t="shared" ref="Q21:Q52" si="3">+C21-15018.5</f>
        <v>11875.928</v>
      </c>
    </row>
    <row r="22" spans="1:32" x14ac:dyDescent="0.2">
      <c r="A22" t="s">
        <v>12</v>
      </c>
      <c r="C22" s="12">
        <v>26894.517</v>
      </c>
      <c r="D22" s="12" t="s">
        <v>14</v>
      </c>
      <c r="E22">
        <f t="shared" si="0"/>
        <v>0</v>
      </c>
      <c r="F22">
        <f t="shared" si="1"/>
        <v>0</v>
      </c>
      <c r="H22" s="9">
        <v>0</v>
      </c>
      <c r="O22">
        <f t="shared" ca="1" si="2"/>
        <v>1.240500705243618E-2</v>
      </c>
      <c r="Q22" s="2">
        <f t="shared" si="3"/>
        <v>11876.017</v>
      </c>
    </row>
    <row r="23" spans="1:32" x14ac:dyDescent="0.2">
      <c r="A23" s="53" t="s">
        <v>81</v>
      </c>
      <c r="B23" s="55" t="s">
        <v>61</v>
      </c>
      <c r="C23" s="54">
        <v>27596.465</v>
      </c>
      <c r="D23" s="12"/>
      <c r="E23">
        <f t="shared" si="0"/>
        <v>219.00265168835483</v>
      </c>
      <c r="F23">
        <f t="shared" si="1"/>
        <v>219</v>
      </c>
      <c r="G23">
        <f t="shared" ref="G23:G52" si="4">+C23-(C$7+F23*C$8)</f>
        <v>8.4992000010970514E-3</v>
      </c>
      <c r="L23">
        <f t="shared" ref="L23:L28" si="5">+G23</f>
        <v>8.4992000010970514E-3</v>
      </c>
      <c r="O23">
        <f t="shared" ca="1" si="2"/>
        <v>1.2760047899246505E-2</v>
      </c>
      <c r="Q23" s="2">
        <f t="shared" si="3"/>
        <v>12577.965</v>
      </c>
    </row>
    <row r="24" spans="1:32" x14ac:dyDescent="0.2">
      <c r="A24" s="53" t="s">
        <v>81</v>
      </c>
      <c r="B24" s="55" t="s">
        <v>61</v>
      </c>
      <c r="C24" s="54">
        <v>28016.444</v>
      </c>
      <c r="D24" s="12"/>
      <c r="E24">
        <f t="shared" si="0"/>
        <v>350.0330337870621</v>
      </c>
      <c r="F24">
        <f t="shared" si="1"/>
        <v>350</v>
      </c>
      <c r="G24">
        <f t="shared" si="4"/>
        <v>0.10587999999916065</v>
      </c>
      <c r="L24">
        <f t="shared" si="5"/>
        <v>0.10587999999916065</v>
      </c>
      <c r="O24">
        <f t="shared" ca="1" si="2"/>
        <v>1.2972423930900171E-2</v>
      </c>
      <c r="Q24" s="2">
        <f t="shared" si="3"/>
        <v>12997.944</v>
      </c>
    </row>
    <row r="25" spans="1:32" x14ac:dyDescent="0.2">
      <c r="A25" s="53" t="s">
        <v>81</v>
      </c>
      <c r="B25" s="55" t="s">
        <v>61</v>
      </c>
      <c r="C25" s="54">
        <v>29516.406999999999</v>
      </c>
      <c r="D25" s="12"/>
      <c r="E25">
        <f t="shared" si="0"/>
        <v>818.01053986218392</v>
      </c>
      <c r="F25">
        <f t="shared" si="1"/>
        <v>818</v>
      </c>
      <c r="G25">
        <f t="shared" si="4"/>
        <v>3.3782399998017354E-2</v>
      </c>
      <c r="L25">
        <f t="shared" si="5"/>
        <v>3.3782399998017354E-2</v>
      </c>
      <c r="O25">
        <f t="shared" ca="1" si="2"/>
        <v>1.3731141356960595E-2</v>
      </c>
      <c r="Q25" s="2">
        <f t="shared" si="3"/>
        <v>14497.906999999999</v>
      </c>
    </row>
    <row r="26" spans="1:32" x14ac:dyDescent="0.2">
      <c r="A26" s="53" t="s">
        <v>96</v>
      </c>
      <c r="B26" s="55" t="s">
        <v>61</v>
      </c>
      <c r="C26" s="54">
        <v>30904.292000000001</v>
      </c>
      <c r="D26" s="12"/>
      <c r="E26">
        <f t="shared" si="0"/>
        <v>1251.0205281212752</v>
      </c>
      <c r="F26">
        <f t="shared" si="1"/>
        <v>1251</v>
      </c>
      <c r="G26">
        <f t="shared" si="4"/>
        <v>6.5796800001407973E-2</v>
      </c>
      <c r="L26">
        <f t="shared" si="5"/>
        <v>6.5796800001407973E-2</v>
      </c>
      <c r="O26">
        <f t="shared" ca="1" si="2"/>
        <v>1.4433117095174619E-2</v>
      </c>
      <c r="Q26" s="2">
        <f t="shared" si="3"/>
        <v>15885.792000000001</v>
      </c>
    </row>
    <row r="27" spans="1:32" x14ac:dyDescent="0.2">
      <c r="A27" s="53" t="s">
        <v>96</v>
      </c>
      <c r="B27" s="55" t="s">
        <v>61</v>
      </c>
      <c r="C27" s="54">
        <v>31231.196</v>
      </c>
      <c r="D27" s="11"/>
      <c r="E27">
        <f t="shared" si="0"/>
        <v>1353.0121896795811</v>
      </c>
      <c r="F27">
        <f t="shared" si="1"/>
        <v>1353</v>
      </c>
      <c r="G27">
        <f t="shared" si="4"/>
        <v>3.9070399998308858E-2</v>
      </c>
      <c r="L27">
        <f t="shared" si="5"/>
        <v>3.9070399998308858E-2</v>
      </c>
      <c r="O27">
        <f t="shared" ca="1" si="2"/>
        <v>1.4598478585469839E-2</v>
      </c>
      <c r="Q27" s="2">
        <f t="shared" si="3"/>
        <v>16212.696</v>
      </c>
    </row>
    <row r="28" spans="1:32" x14ac:dyDescent="0.2">
      <c r="A28" s="53" t="s">
        <v>104</v>
      </c>
      <c r="B28" s="55" t="s">
        <v>61</v>
      </c>
      <c r="C28" s="54">
        <v>31231.204000000002</v>
      </c>
      <c r="D28" s="11"/>
      <c r="E28">
        <f t="shared" si="0"/>
        <v>1353.0146856211804</v>
      </c>
      <c r="F28">
        <f t="shared" si="1"/>
        <v>1353</v>
      </c>
      <c r="G28">
        <f t="shared" si="4"/>
        <v>4.7070399999938672E-2</v>
      </c>
      <c r="L28">
        <f t="shared" si="5"/>
        <v>4.7070399999938672E-2</v>
      </c>
      <c r="O28">
        <f t="shared" ca="1" si="2"/>
        <v>1.4598478585469839E-2</v>
      </c>
      <c r="Q28" s="2">
        <f t="shared" si="3"/>
        <v>16212.704000000002</v>
      </c>
    </row>
    <row r="29" spans="1:32" x14ac:dyDescent="0.2">
      <c r="A29" t="s">
        <v>28</v>
      </c>
      <c r="C29" s="12">
        <v>42170.514000000003</v>
      </c>
      <c r="D29" s="12"/>
      <c r="E29">
        <f t="shared" si="0"/>
        <v>4765.9995472361943</v>
      </c>
      <c r="F29">
        <f t="shared" si="1"/>
        <v>4766</v>
      </c>
      <c r="G29">
        <f t="shared" si="4"/>
        <v>-1.4511999979731627E-3</v>
      </c>
      <c r="I29">
        <f t="shared" ref="I29:I47" si="6">+G29</f>
        <v>-1.4511999979731627E-3</v>
      </c>
      <c r="O29">
        <f t="shared" ca="1" si="2"/>
        <v>2.0131603746034423E-2</v>
      </c>
      <c r="Q29" s="2">
        <f t="shared" si="3"/>
        <v>27152.014000000003</v>
      </c>
      <c r="AB29">
        <v>10</v>
      </c>
      <c r="AD29" t="s">
        <v>27</v>
      </c>
      <c r="AF29" t="s">
        <v>29</v>
      </c>
    </row>
    <row r="30" spans="1:32" x14ac:dyDescent="0.2">
      <c r="A30" t="s">
        <v>31</v>
      </c>
      <c r="C30" s="12">
        <v>42516.658000000003</v>
      </c>
      <c r="D30" s="12"/>
      <c r="E30">
        <f t="shared" si="0"/>
        <v>4873.9939483400003</v>
      </c>
      <c r="F30">
        <f t="shared" si="1"/>
        <v>4874</v>
      </c>
      <c r="G30">
        <f t="shared" si="4"/>
        <v>-1.9396799994865432E-2</v>
      </c>
      <c r="I30">
        <f t="shared" si="6"/>
        <v>-1.9396799994865432E-2</v>
      </c>
      <c r="O30">
        <f t="shared" ca="1" si="2"/>
        <v>2.0306692382817598E-2</v>
      </c>
      <c r="Q30" s="2">
        <f t="shared" si="3"/>
        <v>27498.158000000003</v>
      </c>
      <c r="AA30" t="s">
        <v>30</v>
      </c>
      <c r="AB30">
        <v>8</v>
      </c>
      <c r="AD30" t="s">
        <v>27</v>
      </c>
      <c r="AF30" t="s">
        <v>29</v>
      </c>
    </row>
    <row r="31" spans="1:32" x14ac:dyDescent="0.2">
      <c r="A31" t="s">
        <v>31</v>
      </c>
      <c r="C31" s="12">
        <v>42561.550999999999</v>
      </c>
      <c r="D31" s="12"/>
      <c r="E31">
        <f t="shared" si="0"/>
        <v>4888.000236615263</v>
      </c>
      <c r="F31">
        <f t="shared" si="1"/>
        <v>4888</v>
      </c>
      <c r="G31">
        <f t="shared" si="4"/>
        <v>7.5839999772142619E-4</v>
      </c>
      <c r="I31">
        <f t="shared" si="6"/>
        <v>7.5839999772142619E-4</v>
      </c>
      <c r="O31">
        <f t="shared" ca="1" si="2"/>
        <v>2.0329389057956157E-2</v>
      </c>
      <c r="Q31" s="2">
        <f t="shared" si="3"/>
        <v>27543.050999999999</v>
      </c>
      <c r="AA31" t="s">
        <v>30</v>
      </c>
      <c r="AB31">
        <v>10</v>
      </c>
      <c r="AD31" t="s">
        <v>27</v>
      </c>
      <c r="AF31" t="s">
        <v>29</v>
      </c>
    </row>
    <row r="32" spans="1:32" x14ac:dyDescent="0.2">
      <c r="A32" t="s">
        <v>32</v>
      </c>
      <c r="C32" s="12">
        <v>42577.565999999999</v>
      </c>
      <c r="D32" s="12"/>
      <c r="E32">
        <f t="shared" si="0"/>
        <v>4892.9967997036811</v>
      </c>
      <c r="F32">
        <f t="shared" si="1"/>
        <v>4893</v>
      </c>
      <c r="G32">
        <f t="shared" si="4"/>
        <v>-1.0257599999022204E-2</v>
      </c>
      <c r="I32">
        <f t="shared" si="6"/>
        <v>-1.0257599999022204E-2</v>
      </c>
      <c r="O32">
        <f t="shared" ca="1" si="2"/>
        <v>2.0337495013362787E-2</v>
      </c>
      <c r="Q32" s="2">
        <f t="shared" si="3"/>
        <v>27559.065999999999</v>
      </c>
      <c r="AA32" t="s">
        <v>30</v>
      </c>
      <c r="AB32">
        <v>5</v>
      </c>
      <c r="AD32" t="s">
        <v>27</v>
      </c>
      <c r="AF32" t="s">
        <v>29</v>
      </c>
    </row>
    <row r="33" spans="1:32" x14ac:dyDescent="0.2">
      <c r="A33" t="s">
        <v>32</v>
      </c>
      <c r="C33" s="12">
        <v>42606.415999999997</v>
      </c>
      <c r="D33" s="12"/>
      <c r="E33">
        <f t="shared" si="0"/>
        <v>4901.9977890949303</v>
      </c>
      <c r="F33">
        <f t="shared" si="1"/>
        <v>4902</v>
      </c>
      <c r="G33">
        <f t="shared" si="4"/>
        <v>-7.0864000008441508E-3</v>
      </c>
      <c r="I33">
        <f t="shared" si="6"/>
        <v>-7.0864000008441508E-3</v>
      </c>
      <c r="O33">
        <f t="shared" ca="1" si="2"/>
        <v>2.0352085733094716E-2</v>
      </c>
      <c r="Q33" s="2">
        <f t="shared" si="3"/>
        <v>27587.915999999997</v>
      </c>
      <c r="AA33" t="s">
        <v>30</v>
      </c>
      <c r="AB33">
        <v>10</v>
      </c>
      <c r="AD33" t="s">
        <v>33</v>
      </c>
      <c r="AF33" t="s">
        <v>29</v>
      </c>
    </row>
    <row r="34" spans="1:32" x14ac:dyDescent="0.2">
      <c r="A34" t="s">
        <v>32</v>
      </c>
      <c r="C34" s="12">
        <v>42622.455999999998</v>
      </c>
      <c r="D34" s="12"/>
      <c r="E34">
        <f t="shared" si="0"/>
        <v>4907.0021520008459</v>
      </c>
      <c r="F34">
        <f t="shared" si="1"/>
        <v>4907</v>
      </c>
      <c r="G34">
        <f t="shared" si="4"/>
        <v>6.8975999965914525E-3</v>
      </c>
      <c r="I34">
        <f t="shared" si="6"/>
        <v>6.8975999965914525E-3</v>
      </c>
      <c r="O34">
        <f t="shared" ca="1" si="2"/>
        <v>2.0360191688501346E-2</v>
      </c>
      <c r="Q34" s="2">
        <f t="shared" si="3"/>
        <v>27603.955999999998</v>
      </c>
      <c r="AA34" t="s">
        <v>30</v>
      </c>
      <c r="AB34">
        <v>7</v>
      </c>
      <c r="AD34" t="s">
        <v>27</v>
      </c>
      <c r="AF34" t="s">
        <v>29</v>
      </c>
    </row>
    <row r="35" spans="1:32" x14ac:dyDescent="0.2">
      <c r="A35" t="s">
        <v>34</v>
      </c>
      <c r="C35" s="12">
        <v>42904.51</v>
      </c>
      <c r="D35" s="12"/>
      <c r="E35">
        <f t="shared" si="0"/>
        <v>4995.0009409699833</v>
      </c>
      <c r="F35">
        <f t="shared" si="1"/>
        <v>4995</v>
      </c>
      <c r="G35">
        <f t="shared" si="4"/>
        <v>3.0160000023897737E-3</v>
      </c>
      <c r="I35">
        <f t="shared" si="6"/>
        <v>3.0160000023897737E-3</v>
      </c>
      <c r="O35">
        <f t="shared" ca="1" si="2"/>
        <v>2.0502856503658008E-2</v>
      </c>
      <c r="Q35" s="2">
        <f t="shared" si="3"/>
        <v>27886.010000000002</v>
      </c>
      <c r="AA35" t="s">
        <v>30</v>
      </c>
      <c r="AB35">
        <v>9</v>
      </c>
      <c r="AD35" t="s">
        <v>27</v>
      </c>
      <c r="AF35" t="s">
        <v>29</v>
      </c>
    </row>
    <row r="36" spans="1:32" x14ac:dyDescent="0.2">
      <c r="A36" t="s">
        <v>36</v>
      </c>
      <c r="C36" s="12">
        <v>44058.381999999998</v>
      </c>
      <c r="D36" s="12"/>
      <c r="E36">
        <f t="shared" si="0"/>
        <v>5355.0005815543918</v>
      </c>
      <c r="F36">
        <f t="shared" si="1"/>
        <v>5355</v>
      </c>
      <c r="G36">
        <f t="shared" si="4"/>
        <v>1.8639999980223365E-3</v>
      </c>
      <c r="I36">
        <f t="shared" si="6"/>
        <v>1.8639999980223365E-3</v>
      </c>
      <c r="O36">
        <f t="shared" ca="1" si="2"/>
        <v>2.1086485292935254E-2</v>
      </c>
      <c r="Q36" s="2">
        <f t="shared" si="3"/>
        <v>29039.881999999998</v>
      </c>
      <c r="AA36" t="s">
        <v>30</v>
      </c>
      <c r="AB36">
        <v>9</v>
      </c>
      <c r="AD36" t="s">
        <v>35</v>
      </c>
      <c r="AF36" t="s">
        <v>29</v>
      </c>
    </row>
    <row r="37" spans="1:32" x14ac:dyDescent="0.2">
      <c r="A37" t="s">
        <v>36</v>
      </c>
      <c r="C37" s="12">
        <v>44058.385999999999</v>
      </c>
      <c r="D37" s="12"/>
      <c r="E37">
        <f t="shared" si="0"/>
        <v>5355.0018295251912</v>
      </c>
      <c r="F37">
        <f t="shared" si="1"/>
        <v>5355</v>
      </c>
      <c r="G37">
        <f t="shared" si="4"/>
        <v>5.8639999988372438E-3</v>
      </c>
      <c r="I37">
        <f t="shared" si="6"/>
        <v>5.8639999988372438E-3</v>
      </c>
      <c r="O37">
        <f t="shared" ca="1" si="2"/>
        <v>2.1086485292935254E-2</v>
      </c>
      <c r="Q37" s="2">
        <f t="shared" si="3"/>
        <v>29039.885999999999</v>
      </c>
      <c r="AA37" t="s">
        <v>30</v>
      </c>
      <c r="AB37">
        <v>5</v>
      </c>
      <c r="AD37" t="s">
        <v>37</v>
      </c>
      <c r="AF37" t="s">
        <v>29</v>
      </c>
    </row>
    <row r="38" spans="1:32" x14ac:dyDescent="0.2">
      <c r="A38" t="s">
        <v>36</v>
      </c>
      <c r="C38" s="12">
        <v>44090.442999999999</v>
      </c>
      <c r="D38" s="12"/>
      <c r="E38">
        <f t="shared" si="0"/>
        <v>5365.0033795049249</v>
      </c>
      <c r="F38">
        <f t="shared" si="1"/>
        <v>5365</v>
      </c>
      <c r="G38">
        <f t="shared" si="4"/>
        <v>1.083199999993667E-2</v>
      </c>
      <c r="I38">
        <f t="shared" si="6"/>
        <v>1.083199999993667E-2</v>
      </c>
      <c r="O38">
        <f t="shared" ca="1" si="2"/>
        <v>2.1102697203748515E-2</v>
      </c>
      <c r="Q38" s="2">
        <f t="shared" si="3"/>
        <v>29071.942999999999</v>
      </c>
      <c r="AA38" t="s">
        <v>30</v>
      </c>
      <c r="AB38">
        <v>11</v>
      </c>
      <c r="AD38" t="s">
        <v>38</v>
      </c>
      <c r="AF38" t="s">
        <v>29</v>
      </c>
    </row>
    <row r="39" spans="1:32" x14ac:dyDescent="0.2">
      <c r="A39" t="s">
        <v>39</v>
      </c>
      <c r="C39" s="12">
        <v>45122.489000000001</v>
      </c>
      <c r="D39" s="12"/>
      <c r="E39">
        <f t="shared" si="0"/>
        <v>5686.9941974349713</v>
      </c>
      <c r="F39">
        <f t="shared" si="1"/>
        <v>5687</v>
      </c>
      <c r="G39">
        <f t="shared" si="4"/>
        <v>-1.8598399998154491E-2</v>
      </c>
      <c r="I39">
        <f t="shared" si="6"/>
        <v>-1.8598399998154491E-2</v>
      </c>
      <c r="O39">
        <f t="shared" ca="1" si="2"/>
        <v>2.1624720731935387E-2</v>
      </c>
      <c r="Q39" s="2">
        <f t="shared" si="3"/>
        <v>30103.989000000001</v>
      </c>
      <c r="AA39" t="s">
        <v>30</v>
      </c>
      <c r="AB39">
        <v>6</v>
      </c>
      <c r="AD39" t="s">
        <v>27</v>
      </c>
      <c r="AF39" t="s">
        <v>29</v>
      </c>
    </row>
    <row r="40" spans="1:32" x14ac:dyDescent="0.2">
      <c r="A40" t="s">
        <v>39</v>
      </c>
      <c r="C40" s="12">
        <v>45135.341999999997</v>
      </c>
      <c r="D40" s="12"/>
      <c r="E40">
        <f t="shared" si="0"/>
        <v>5691.0042396063991</v>
      </c>
      <c r="F40">
        <f t="shared" si="1"/>
        <v>5691</v>
      </c>
      <c r="G40">
        <f t="shared" si="4"/>
        <v>1.3588800000434276E-2</v>
      </c>
      <c r="I40">
        <f t="shared" si="6"/>
        <v>1.3588800000434276E-2</v>
      </c>
      <c r="O40">
        <f t="shared" ca="1" si="2"/>
        <v>2.1631205496260686E-2</v>
      </c>
      <c r="Q40" s="2">
        <f t="shared" si="3"/>
        <v>30116.841999999997</v>
      </c>
      <c r="AA40" t="s">
        <v>30</v>
      </c>
      <c r="AB40">
        <v>5</v>
      </c>
      <c r="AD40" t="s">
        <v>37</v>
      </c>
      <c r="AF40" t="s">
        <v>29</v>
      </c>
    </row>
    <row r="41" spans="1:32" x14ac:dyDescent="0.2">
      <c r="A41" t="s">
        <v>40</v>
      </c>
      <c r="C41" s="12">
        <v>45183.432999999997</v>
      </c>
      <c r="D41" s="12"/>
      <c r="E41">
        <f t="shared" si="0"/>
        <v>5706.0082805358479</v>
      </c>
      <c r="F41">
        <f t="shared" si="1"/>
        <v>5706</v>
      </c>
      <c r="G41">
        <f t="shared" si="4"/>
        <v>2.6540799997746944E-2</v>
      </c>
      <c r="I41">
        <f t="shared" si="6"/>
        <v>2.6540799997746944E-2</v>
      </c>
      <c r="O41">
        <f t="shared" ca="1" si="2"/>
        <v>2.1655523362480573E-2</v>
      </c>
      <c r="Q41" s="2">
        <f t="shared" si="3"/>
        <v>30164.932999999997</v>
      </c>
      <c r="AA41" t="s">
        <v>30</v>
      </c>
      <c r="AB41">
        <v>12</v>
      </c>
      <c r="AD41" t="s">
        <v>38</v>
      </c>
      <c r="AF41" t="s">
        <v>29</v>
      </c>
    </row>
    <row r="42" spans="1:32" x14ac:dyDescent="0.2">
      <c r="A42" t="s">
        <v>40</v>
      </c>
      <c r="C42" s="12">
        <v>45228.294000000002</v>
      </c>
      <c r="D42" s="12"/>
      <c r="E42">
        <f t="shared" si="0"/>
        <v>5720.0045850447177</v>
      </c>
      <c r="F42">
        <f t="shared" si="1"/>
        <v>5720</v>
      </c>
      <c r="G42">
        <f t="shared" si="4"/>
        <v>1.4696000005642418E-2</v>
      </c>
      <c r="I42">
        <f t="shared" si="6"/>
        <v>1.4696000005642418E-2</v>
      </c>
      <c r="O42">
        <f t="shared" ca="1" si="2"/>
        <v>2.1678220037619135E-2</v>
      </c>
      <c r="Q42" s="2">
        <f t="shared" si="3"/>
        <v>30209.794000000002</v>
      </c>
      <c r="AA42" t="s">
        <v>30</v>
      </c>
      <c r="AB42">
        <v>6</v>
      </c>
      <c r="AD42" t="s">
        <v>41</v>
      </c>
      <c r="AF42" t="s">
        <v>29</v>
      </c>
    </row>
    <row r="43" spans="1:32" x14ac:dyDescent="0.2">
      <c r="A43" t="s">
        <v>42</v>
      </c>
      <c r="C43" s="12">
        <v>45542.387000000002</v>
      </c>
      <c r="D43" s="12"/>
      <c r="E43">
        <f t="shared" si="0"/>
        <v>5817.9993081249895</v>
      </c>
      <c r="F43">
        <f t="shared" si="1"/>
        <v>5818</v>
      </c>
      <c r="G43">
        <f t="shared" si="4"/>
        <v>-2.2175999984028749E-3</v>
      </c>
      <c r="I43">
        <f t="shared" si="6"/>
        <v>-2.2175999984028749E-3</v>
      </c>
      <c r="O43">
        <f t="shared" ca="1" si="2"/>
        <v>2.183709676358905E-2</v>
      </c>
      <c r="Q43" s="2">
        <f t="shared" si="3"/>
        <v>30523.887000000002</v>
      </c>
      <c r="AA43" t="s">
        <v>30</v>
      </c>
      <c r="AB43">
        <v>8</v>
      </c>
      <c r="AD43" t="s">
        <v>41</v>
      </c>
      <c r="AF43" t="s">
        <v>29</v>
      </c>
    </row>
    <row r="44" spans="1:32" x14ac:dyDescent="0.2">
      <c r="A44" t="s">
        <v>43</v>
      </c>
      <c r="C44" s="12">
        <v>48010.434999999998</v>
      </c>
      <c r="D44" s="12"/>
      <c r="E44">
        <f t="shared" si="0"/>
        <v>6588.0122670537694</v>
      </c>
      <c r="F44">
        <f t="shared" si="1"/>
        <v>6588</v>
      </c>
      <c r="G44">
        <f t="shared" si="4"/>
        <v>3.9318399998592213E-2</v>
      </c>
      <c r="I44">
        <f t="shared" si="6"/>
        <v>3.9318399998592213E-2</v>
      </c>
      <c r="O44">
        <f t="shared" ca="1" si="2"/>
        <v>2.3085413896209835E-2</v>
      </c>
      <c r="Q44" s="2">
        <f t="shared" si="3"/>
        <v>32991.934999999998</v>
      </c>
      <c r="AA44" t="s">
        <v>30</v>
      </c>
      <c r="AB44">
        <v>10</v>
      </c>
      <c r="AD44" t="s">
        <v>38</v>
      </c>
      <c r="AF44" t="s">
        <v>29</v>
      </c>
    </row>
    <row r="45" spans="1:32" x14ac:dyDescent="0.2">
      <c r="A45" t="s">
        <v>43</v>
      </c>
      <c r="C45" s="12">
        <v>48042.472000000002</v>
      </c>
      <c r="D45" s="12"/>
      <c r="E45">
        <f t="shared" si="0"/>
        <v>6598.0075771795064</v>
      </c>
      <c r="F45">
        <f t="shared" si="1"/>
        <v>6598</v>
      </c>
      <c r="G45">
        <f t="shared" si="4"/>
        <v>2.4286399995617103E-2</v>
      </c>
      <c r="I45">
        <f t="shared" si="6"/>
        <v>2.4286399995617103E-2</v>
      </c>
      <c r="O45">
        <f t="shared" ca="1" si="2"/>
        <v>2.3101625807023088E-2</v>
      </c>
      <c r="Q45" s="2">
        <f t="shared" si="3"/>
        <v>33023.972000000002</v>
      </c>
      <c r="AA45" t="s">
        <v>30</v>
      </c>
      <c r="AB45">
        <v>7</v>
      </c>
      <c r="AD45" t="s">
        <v>38</v>
      </c>
      <c r="AF45" t="s">
        <v>29</v>
      </c>
    </row>
    <row r="46" spans="1:32" x14ac:dyDescent="0.2">
      <c r="A46" s="31" t="s">
        <v>44</v>
      </c>
      <c r="B46" s="31"/>
      <c r="C46" s="32">
        <v>48853.387999999999</v>
      </c>
      <c r="D46" s="32">
        <v>5.0000000000000001E-3</v>
      </c>
      <c r="E46">
        <f t="shared" si="0"/>
        <v>6851.0074493872953</v>
      </c>
      <c r="F46">
        <f t="shared" si="1"/>
        <v>6851</v>
      </c>
      <c r="G46">
        <f t="shared" si="4"/>
        <v>2.3876799998106435E-2</v>
      </c>
      <c r="I46">
        <f t="shared" si="6"/>
        <v>2.3876799998106435E-2</v>
      </c>
      <c r="O46">
        <f t="shared" ca="1" si="2"/>
        <v>2.3511787150598491E-2</v>
      </c>
      <c r="Q46" s="2">
        <f t="shared" si="3"/>
        <v>33834.887999999999</v>
      </c>
      <c r="AA46" t="s">
        <v>30</v>
      </c>
      <c r="AB46">
        <v>10</v>
      </c>
      <c r="AD46" t="s">
        <v>38</v>
      </c>
      <c r="AF46" t="s">
        <v>29</v>
      </c>
    </row>
    <row r="47" spans="1:32" x14ac:dyDescent="0.2">
      <c r="A47" s="31" t="s">
        <v>45</v>
      </c>
      <c r="B47" s="31"/>
      <c r="C47" s="32">
        <v>49587.394999999997</v>
      </c>
      <c r="D47" s="32">
        <v>6.0000000000000001E-3</v>
      </c>
      <c r="E47">
        <f t="shared" si="0"/>
        <v>7080.0122750407827</v>
      </c>
      <c r="F47">
        <f t="shared" si="1"/>
        <v>7080</v>
      </c>
      <c r="G47">
        <f t="shared" si="4"/>
        <v>3.9343999997072387E-2</v>
      </c>
      <c r="I47">
        <f t="shared" si="6"/>
        <v>3.9343999997072387E-2</v>
      </c>
      <c r="O47">
        <f t="shared" ca="1" si="2"/>
        <v>2.3883039908222072E-2</v>
      </c>
      <c r="Q47" s="2">
        <f t="shared" si="3"/>
        <v>34568.894999999997</v>
      </c>
      <c r="AA47" t="s">
        <v>30</v>
      </c>
      <c r="AB47">
        <v>12</v>
      </c>
      <c r="AD47" t="s">
        <v>38</v>
      </c>
      <c r="AF47" t="s">
        <v>29</v>
      </c>
    </row>
    <row r="48" spans="1:32" x14ac:dyDescent="0.2">
      <c r="A48" s="33" t="s">
        <v>46</v>
      </c>
      <c r="B48" s="34"/>
      <c r="C48" s="35">
        <v>51680.424800000001</v>
      </c>
      <c r="D48" s="35">
        <v>3.5000000000000001E-3</v>
      </c>
      <c r="E48">
        <f t="shared" si="0"/>
        <v>7733.0222932511733</v>
      </c>
      <c r="F48">
        <f t="shared" si="1"/>
        <v>7733</v>
      </c>
      <c r="G48">
        <f t="shared" si="4"/>
        <v>7.145440000022063E-2</v>
      </c>
      <c r="J48">
        <f>+G48</f>
        <v>7.145440000022063E-2</v>
      </c>
      <c r="O48">
        <f t="shared" ca="1" si="2"/>
        <v>2.494167768432775E-2</v>
      </c>
      <c r="Q48" s="2">
        <f t="shared" si="3"/>
        <v>36661.924800000001</v>
      </c>
    </row>
    <row r="49" spans="1:17" x14ac:dyDescent="0.2">
      <c r="A49" s="53" t="s">
        <v>187</v>
      </c>
      <c r="B49" s="55" t="s">
        <v>61</v>
      </c>
      <c r="C49" s="54">
        <v>53190.089699999997</v>
      </c>
      <c r="D49" s="11"/>
      <c r="E49">
        <f t="shared" si="0"/>
        <v>8204.026721301163</v>
      </c>
      <c r="F49">
        <f t="shared" si="1"/>
        <v>8204</v>
      </c>
      <c r="G49">
        <f t="shared" si="4"/>
        <v>8.5647199994127732E-2</v>
      </c>
      <c r="L49">
        <f>+G49</f>
        <v>8.5647199994127732E-2</v>
      </c>
      <c r="O49">
        <f t="shared" ca="1" si="2"/>
        <v>2.5705258683632149E-2</v>
      </c>
      <c r="Q49" s="2">
        <f t="shared" si="3"/>
        <v>38171.589699999997</v>
      </c>
    </row>
    <row r="50" spans="1:17" x14ac:dyDescent="0.2">
      <c r="A50" s="53" t="s">
        <v>194</v>
      </c>
      <c r="B50" s="55" t="s">
        <v>61</v>
      </c>
      <c r="C50" s="54">
        <v>54709.340199999999</v>
      </c>
      <c r="D50" s="11"/>
      <c r="E50">
        <f t="shared" si="0"/>
        <v>8678.0217865750292</v>
      </c>
      <c r="F50">
        <f t="shared" si="1"/>
        <v>8678</v>
      </c>
      <c r="G50">
        <f t="shared" si="4"/>
        <v>6.9830399996135384E-2</v>
      </c>
      <c r="L50">
        <f>+G50</f>
        <v>6.9830399996135384E-2</v>
      </c>
      <c r="O50">
        <f t="shared" ca="1" si="2"/>
        <v>2.6473703256180529E-2</v>
      </c>
      <c r="Q50" s="2">
        <f t="shared" si="3"/>
        <v>39690.840199999999</v>
      </c>
    </row>
    <row r="51" spans="1:17" x14ac:dyDescent="0.2">
      <c r="A51" s="33" t="s">
        <v>60</v>
      </c>
      <c r="B51" s="36" t="s">
        <v>61</v>
      </c>
      <c r="C51" s="33">
        <v>55305.495300000002</v>
      </c>
      <c r="D51" s="33">
        <v>1E-4</v>
      </c>
      <c r="E51">
        <f t="shared" si="0"/>
        <v>8864.017825765306</v>
      </c>
      <c r="F51">
        <f t="shared" si="1"/>
        <v>8864</v>
      </c>
      <c r="G51">
        <f t="shared" si="4"/>
        <v>5.7135200004267972E-2</v>
      </c>
      <c r="J51">
        <f>+G51</f>
        <v>5.7135200004267972E-2</v>
      </c>
      <c r="O51">
        <f t="shared" ca="1" si="2"/>
        <v>2.6775244797307106E-2</v>
      </c>
      <c r="Q51" s="2">
        <f t="shared" si="3"/>
        <v>40286.995300000002</v>
      </c>
    </row>
    <row r="52" spans="1:17" x14ac:dyDescent="0.2">
      <c r="A52" s="37" t="s">
        <v>62</v>
      </c>
      <c r="B52" s="38" t="s">
        <v>61</v>
      </c>
      <c r="C52" s="39">
        <v>56132.419090000003</v>
      </c>
      <c r="D52" s="39">
        <v>2.0000000000000001E-4</v>
      </c>
      <c r="E52">
        <f t="shared" si="0"/>
        <v>9122.0120115941481</v>
      </c>
      <c r="F52">
        <f t="shared" si="1"/>
        <v>9122</v>
      </c>
      <c r="G52">
        <f t="shared" si="4"/>
        <v>3.8499599999340717E-2</v>
      </c>
      <c r="K52">
        <f>+G52</f>
        <v>3.8499599999340717E-2</v>
      </c>
      <c r="O52">
        <f t="shared" ca="1" si="2"/>
        <v>2.7193512096289132E-2</v>
      </c>
      <c r="Q52" s="2">
        <f t="shared" si="3"/>
        <v>41113.919090000003</v>
      </c>
    </row>
    <row r="53" spans="1:17" x14ac:dyDescent="0.2">
      <c r="A53" s="56" t="s">
        <v>207</v>
      </c>
      <c r="B53" s="57" t="s">
        <v>61</v>
      </c>
      <c r="C53" s="58">
        <v>59366.408100000001</v>
      </c>
      <c r="D53" s="56">
        <v>1E-3</v>
      </c>
      <c r="E53">
        <f t="shared" ref="E53" si="7">+(C53-C$7)/C$8</f>
        <v>10130.992974173992</v>
      </c>
      <c r="F53">
        <f t="shared" ref="F53" si="8">ROUND(2*E53,0)/2</f>
        <v>10131</v>
      </c>
      <c r="G53">
        <f t="shared" ref="G53" si="9">+C53-(C$7+F53*C$8)</f>
        <v>-2.2519199999806006E-2</v>
      </c>
      <c r="M53">
        <f>+G53</f>
        <v>-2.2519199999806006E-2</v>
      </c>
      <c r="O53">
        <f t="shared" ref="O53" ca="1" si="10">+C$11+C$12*$F53</f>
        <v>2.8829293897346755E-2</v>
      </c>
      <c r="Q53" s="2">
        <f t="shared" ref="Q53" si="11">+C53-15018.5</f>
        <v>44347.908100000001</v>
      </c>
    </row>
    <row r="54" spans="1:17" x14ac:dyDescent="0.2">
      <c r="B54" s="16"/>
      <c r="C54" s="11"/>
      <c r="D54" s="11"/>
    </row>
    <row r="55" spans="1:17" x14ac:dyDescent="0.2">
      <c r="B55" s="16"/>
      <c r="C55" s="11"/>
      <c r="D55" s="11"/>
    </row>
    <row r="56" spans="1:17" x14ac:dyDescent="0.2">
      <c r="B56" s="16"/>
      <c r="C56" s="11"/>
      <c r="D56" s="11"/>
    </row>
    <row r="57" spans="1:17" x14ac:dyDescent="0.2">
      <c r="B57" s="16"/>
      <c r="C57" s="11"/>
      <c r="D57" s="11"/>
    </row>
    <row r="58" spans="1:17" x14ac:dyDescent="0.2">
      <c r="B58" s="16"/>
      <c r="C58" s="11"/>
      <c r="D58" s="11"/>
    </row>
    <row r="59" spans="1:17" x14ac:dyDescent="0.2">
      <c r="B59" s="16"/>
      <c r="C59" s="11"/>
      <c r="D59" s="11"/>
    </row>
    <row r="60" spans="1:17" x14ac:dyDescent="0.2">
      <c r="B60" s="16"/>
      <c r="C60" s="11"/>
      <c r="D60" s="11"/>
    </row>
    <row r="61" spans="1:17" x14ac:dyDescent="0.2">
      <c r="B61" s="16"/>
      <c r="C61" s="11"/>
      <c r="D61" s="11"/>
    </row>
    <row r="62" spans="1:17" x14ac:dyDescent="0.2">
      <c r="B62" s="16"/>
      <c r="C62" s="11"/>
      <c r="D62" s="11"/>
    </row>
    <row r="63" spans="1:17" x14ac:dyDescent="0.2">
      <c r="B63" s="16"/>
      <c r="C63" s="11"/>
      <c r="D63" s="11"/>
    </row>
    <row r="64" spans="1:17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2"/>
  <sheetViews>
    <sheetView workbookViewId="0">
      <selection activeCell="A33" sqref="A33:C41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0" t="s">
        <v>65</v>
      </c>
      <c r="I1" s="41" t="s">
        <v>66</v>
      </c>
      <c r="J1" s="42" t="s">
        <v>67</v>
      </c>
    </row>
    <row r="2" spans="1:16" x14ac:dyDescent="0.2">
      <c r="I2" s="43" t="s">
        <v>68</v>
      </c>
      <c r="J2" s="44" t="s">
        <v>69</v>
      </c>
    </row>
    <row r="3" spans="1:16" x14ac:dyDescent="0.2">
      <c r="A3" s="45" t="s">
        <v>70</v>
      </c>
      <c r="I3" s="43" t="s">
        <v>71</v>
      </c>
      <c r="J3" s="44" t="s">
        <v>72</v>
      </c>
    </row>
    <row r="4" spans="1:16" x14ac:dyDescent="0.2">
      <c r="I4" s="43" t="s">
        <v>73</v>
      </c>
      <c r="J4" s="44" t="s">
        <v>72</v>
      </c>
    </row>
    <row r="5" spans="1:16" ht="13.5" thickBot="1" x14ac:dyDescent="0.25">
      <c r="I5" s="46" t="s">
        <v>74</v>
      </c>
      <c r="J5" s="47" t="s">
        <v>75</v>
      </c>
    </row>
    <row r="10" spans="1:16" ht="13.5" thickBot="1" x14ac:dyDescent="0.25"/>
    <row r="11" spans="1:16" ht="12.75" customHeight="1" thickBot="1" x14ac:dyDescent="0.25">
      <c r="A11" s="11" t="str">
        <f t="shared" ref="A11:A41" si="0">P11</f>
        <v> BBS 15 </v>
      </c>
      <c r="B11" s="16" t="str">
        <f t="shared" ref="B11:B41" si="1">IF(H11=INT(H11),"I","II")</f>
        <v>I</v>
      </c>
      <c r="C11" s="11">
        <f t="shared" ref="C11:C41" si="2">1*G11</f>
        <v>42170.514000000003</v>
      </c>
      <c r="D11" s="14" t="str">
        <f t="shared" ref="D11:D41" si="3">VLOOKUP(F11,I$1:J$5,2,FALSE)</f>
        <v>vis</v>
      </c>
      <c r="E11" s="48">
        <f>VLOOKUP(C11,Active!C$21:E$973,3,FALSE)</f>
        <v>4765.9995472361943</v>
      </c>
      <c r="F11" s="16" t="s">
        <v>74</v>
      </c>
      <c r="G11" s="14" t="str">
        <f t="shared" ref="G11:G41" si="4">MID(I11,3,LEN(I11)-3)</f>
        <v>42170.514</v>
      </c>
      <c r="H11" s="11">
        <f t="shared" ref="H11:H41" si="5">1*K11</f>
        <v>4766</v>
      </c>
      <c r="I11" s="49" t="s">
        <v>105</v>
      </c>
      <c r="J11" s="50" t="s">
        <v>106</v>
      </c>
      <c r="K11" s="49">
        <v>4766</v>
      </c>
      <c r="L11" s="49" t="s">
        <v>107</v>
      </c>
      <c r="M11" s="50" t="s">
        <v>94</v>
      </c>
      <c r="N11" s="50"/>
      <c r="O11" s="51" t="s">
        <v>108</v>
      </c>
      <c r="P11" s="51" t="s">
        <v>109</v>
      </c>
    </row>
    <row r="12" spans="1:16" ht="12.75" customHeight="1" thickBot="1" x14ac:dyDescent="0.25">
      <c r="A12" s="11" t="str">
        <f t="shared" si="0"/>
        <v> BBS 22 </v>
      </c>
      <c r="B12" s="16" t="str">
        <f t="shared" si="1"/>
        <v>I</v>
      </c>
      <c r="C12" s="11">
        <f t="shared" si="2"/>
        <v>42516.658000000003</v>
      </c>
      <c r="D12" s="14" t="str">
        <f t="shared" si="3"/>
        <v>vis</v>
      </c>
      <c r="E12" s="48">
        <f>VLOOKUP(C12,Active!C$21:E$973,3,FALSE)</f>
        <v>4873.9939483400003</v>
      </c>
      <c r="F12" s="16" t="s">
        <v>74</v>
      </c>
      <c r="G12" s="14" t="str">
        <f t="shared" si="4"/>
        <v>42516.658</v>
      </c>
      <c r="H12" s="11">
        <f t="shared" si="5"/>
        <v>4874</v>
      </c>
      <c r="I12" s="49" t="s">
        <v>110</v>
      </c>
      <c r="J12" s="50" t="s">
        <v>111</v>
      </c>
      <c r="K12" s="49">
        <v>4874</v>
      </c>
      <c r="L12" s="49" t="s">
        <v>112</v>
      </c>
      <c r="M12" s="50" t="s">
        <v>94</v>
      </c>
      <c r="N12" s="50"/>
      <c r="O12" s="51" t="s">
        <v>108</v>
      </c>
      <c r="P12" s="51" t="s">
        <v>113</v>
      </c>
    </row>
    <row r="13" spans="1:16" ht="12.75" customHeight="1" thickBot="1" x14ac:dyDescent="0.25">
      <c r="A13" s="11" t="str">
        <f t="shared" si="0"/>
        <v> BBS 22 </v>
      </c>
      <c r="B13" s="16" t="str">
        <f t="shared" si="1"/>
        <v>I</v>
      </c>
      <c r="C13" s="11">
        <f t="shared" si="2"/>
        <v>42561.550999999999</v>
      </c>
      <c r="D13" s="14" t="str">
        <f t="shared" si="3"/>
        <v>vis</v>
      </c>
      <c r="E13" s="48">
        <f>VLOOKUP(C13,Active!C$21:E$973,3,FALSE)</f>
        <v>4888.000236615263</v>
      </c>
      <c r="F13" s="16" t="s">
        <v>74</v>
      </c>
      <c r="G13" s="14" t="str">
        <f t="shared" si="4"/>
        <v>42561.551</v>
      </c>
      <c r="H13" s="11">
        <f t="shared" si="5"/>
        <v>4888</v>
      </c>
      <c r="I13" s="49" t="s">
        <v>114</v>
      </c>
      <c r="J13" s="50" t="s">
        <v>115</v>
      </c>
      <c r="K13" s="49">
        <v>4888</v>
      </c>
      <c r="L13" s="49" t="s">
        <v>116</v>
      </c>
      <c r="M13" s="50" t="s">
        <v>94</v>
      </c>
      <c r="N13" s="50"/>
      <c r="O13" s="51" t="s">
        <v>108</v>
      </c>
      <c r="P13" s="51" t="s">
        <v>113</v>
      </c>
    </row>
    <row r="14" spans="1:16" ht="12.75" customHeight="1" thickBot="1" x14ac:dyDescent="0.25">
      <c r="A14" s="11" t="str">
        <f t="shared" si="0"/>
        <v> BBS 23 </v>
      </c>
      <c r="B14" s="16" t="str">
        <f t="shared" si="1"/>
        <v>I</v>
      </c>
      <c r="C14" s="11">
        <f t="shared" si="2"/>
        <v>42577.565999999999</v>
      </c>
      <c r="D14" s="14" t="str">
        <f t="shared" si="3"/>
        <v>vis</v>
      </c>
      <c r="E14" s="48">
        <f>VLOOKUP(C14,Active!C$21:E$973,3,FALSE)</f>
        <v>4892.9967997036811</v>
      </c>
      <c r="F14" s="16" t="s">
        <v>74</v>
      </c>
      <c r="G14" s="14" t="str">
        <f t="shared" si="4"/>
        <v>42577.566</v>
      </c>
      <c r="H14" s="11">
        <f t="shared" si="5"/>
        <v>4893</v>
      </c>
      <c r="I14" s="49" t="s">
        <v>117</v>
      </c>
      <c r="J14" s="50" t="s">
        <v>118</v>
      </c>
      <c r="K14" s="49">
        <v>4893</v>
      </c>
      <c r="L14" s="49" t="s">
        <v>119</v>
      </c>
      <c r="M14" s="50" t="s">
        <v>94</v>
      </c>
      <c r="N14" s="50"/>
      <c r="O14" s="51" t="s">
        <v>108</v>
      </c>
      <c r="P14" s="51" t="s">
        <v>120</v>
      </c>
    </row>
    <row r="15" spans="1:16" ht="12.75" customHeight="1" thickBot="1" x14ac:dyDescent="0.25">
      <c r="A15" s="11" t="str">
        <f t="shared" si="0"/>
        <v> BBS 23 </v>
      </c>
      <c r="B15" s="16" t="str">
        <f t="shared" si="1"/>
        <v>I</v>
      </c>
      <c r="C15" s="11">
        <f t="shared" si="2"/>
        <v>42606.415999999997</v>
      </c>
      <c r="D15" s="14" t="str">
        <f t="shared" si="3"/>
        <v>vis</v>
      </c>
      <c r="E15" s="48">
        <f>VLOOKUP(C15,Active!C$21:E$973,3,FALSE)</f>
        <v>4901.9977890949303</v>
      </c>
      <c r="F15" s="16" t="s">
        <v>74</v>
      </c>
      <c r="G15" s="14" t="str">
        <f t="shared" si="4"/>
        <v>42606.416</v>
      </c>
      <c r="H15" s="11">
        <f t="shared" si="5"/>
        <v>4902</v>
      </c>
      <c r="I15" s="49" t="s">
        <v>121</v>
      </c>
      <c r="J15" s="50" t="s">
        <v>122</v>
      </c>
      <c r="K15" s="49">
        <v>4902</v>
      </c>
      <c r="L15" s="49" t="s">
        <v>123</v>
      </c>
      <c r="M15" s="50" t="s">
        <v>94</v>
      </c>
      <c r="N15" s="50"/>
      <c r="O15" s="51" t="s">
        <v>124</v>
      </c>
      <c r="P15" s="51" t="s">
        <v>120</v>
      </c>
    </row>
    <row r="16" spans="1:16" ht="12.75" customHeight="1" thickBot="1" x14ac:dyDescent="0.25">
      <c r="A16" s="11" t="str">
        <f t="shared" si="0"/>
        <v> BBS 23 </v>
      </c>
      <c r="B16" s="16" t="str">
        <f t="shared" si="1"/>
        <v>I</v>
      </c>
      <c r="C16" s="11">
        <f t="shared" si="2"/>
        <v>42622.455999999998</v>
      </c>
      <c r="D16" s="14" t="str">
        <f t="shared" si="3"/>
        <v>vis</v>
      </c>
      <c r="E16" s="48">
        <f>VLOOKUP(C16,Active!C$21:E$973,3,FALSE)</f>
        <v>4907.0021520008459</v>
      </c>
      <c r="F16" s="16" t="s">
        <v>74</v>
      </c>
      <c r="G16" s="14" t="str">
        <f t="shared" si="4"/>
        <v>42622.456</v>
      </c>
      <c r="H16" s="11">
        <f t="shared" si="5"/>
        <v>4907</v>
      </c>
      <c r="I16" s="49" t="s">
        <v>125</v>
      </c>
      <c r="J16" s="50" t="s">
        <v>126</v>
      </c>
      <c r="K16" s="49">
        <v>4907</v>
      </c>
      <c r="L16" s="49" t="s">
        <v>127</v>
      </c>
      <c r="M16" s="50" t="s">
        <v>94</v>
      </c>
      <c r="N16" s="50"/>
      <c r="O16" s="51" t="s">
        <v>108</v>
      </c>
      <c r="P16" s="51" t="s">
        <v>120</v>
      </c>
    </row>
    <row r="17" spans="1:16" ht="12.75" customHeight="1" thickBot="1" x14ac:dyDescent="0.25">
      <c r="A17" s="11" t="str">
        <f t="shared" si="0"/>
        <v> BBS 28 </v>
      </c>
      <c r="B17" s="16" t="str">
        <f t="shared" si="1"/>
        <v>I</v>
      </c>
      <c r="C17" s="11">
        <f t="shared" si="2"/>
        <v>42904.51</v>
      </c>
      <c r="D17" s="14" t="str">
        <f t="shared" si="3"/>
        <v>vis</v>
      </c>
      <c r="E17" s="48">
        <f>VLOOKUP(C17,Active!C$21:E$973,3,FALSE)</f>
        <v>4995.0009409699833</v>
      </c>
      <c r="F17" s="16" t="s">
        <v>74</v>
      </c>
      <c r="G17" s="14" t="str">
        <f t="shared" si="4"/>
        <v>42904.510</v>
      </c>
      <c r="H17" s="11">
        <f t="shared" si="5"/>
        <v>4995</v>
      </c>
      <c r="I17" s="49" t="s">
        <v>128</v>
      </c>
      <c r="J17" s="50" t="s">
        <v>129</v>
      </c>
      <c r="K17" s="49">
        <v>4995</v>
      </c>
      <c r="L17" s="49" t="s">
        <v>130</v>
      </c>
      <c r="M17" s="50" t="s">
        <v>94</v>
      </c>
      <c r="N17" s="50"/>
      <c r="O17" s="51" t="s">
        <v>108</v>
      </c>
      <c r="P17" s="51" t="s">
        <v>131</v>
      </c>
    </row>
    <row r="18" spans="1:16" ht="12.75" customHeight="1" thickBot="1" x14ac:dyDescent="0.25">
      <c r="A18" s="11" t="str">
        <f t="shared" si="0"/>
        <v> BBS 44 </v>
      </c>
      <c r="B18" s="16" t="str">
        <f t="shared" si="1"/>
        <v>I</v>
      </c>
      <c r="C18" s="11">
        <f t="shared" si="2"/>
        <v>44058.381999999998</v>
      </c>
      <c r="D18" s="14" t="str">
        <f t="shared" si="3"/>
        <v>vis</v>
      </c>
      <c r="E18" s="48">
        <f>VLOOKUP(C18,Active!C$21:E$973,3,FALSE)</f>
        <v>5355.0005815543918</v>
      </c>
      <c r="F18" s="16" t="s">
        <v>74</v>
      </c>
      <c r="G18" s="14" t="str">
        <f t="shared" si="4"/>
        <v>44058.382</v>
      </c>
      <c r="H18" s="11">
        <f t="shared" si="5"/>
        <v>5355</v>
      </c>
      <c r="I18" s="49" t="s">
        <v>132</v>
      </c>
      <c r="J18" s="50" t="s">
        <v>133</v>
      </c>
      <c r="K18" s="49">
        <v>5355</v>
      </c>
      <c r="L18" s="49" t="s">
        <v>134</v>
      </c>
      <c r="M18" s="50" t="s">
        <v>94</v>
      </c>
      <c r="N18" s="50"/>
      <c r="O18" s="51" t="s">
        <v>135</v>
      </c>
      <c r="P18" s="51" t="s">
        <v>136</v>
      </c>
    </row>
    <row r="19" spans="1:16" ht="12.75" customHeight="1" thickBot="1" x14ac:dyDescent="0.25">
      <c r="A19" s="11" t="str">
        <f t="shared" si="0"/>
        <v> BBS 44 </v>
      </c>
      <c r="B19" s="16" t="str">
        <f t="shared" si="1"/>
        <v>I</v>
      </c>
      <c r="C19" s="11">
        <f t="shared" si="2"/>
        <v>44058.385999999999</v>
      </c>
      <c r="D19" s="14" t="str">
        <f t="shared" si="3"/>
        <v>vis</v>
      </c>
      <c r="E19" s="48">
        <f>VLOOKUP(C19,Active!C$21:E$973,3,FALSE)</f>
        <v>5355.0018295251912</v>
      </c>
      <c r="F19" s="16" t="s">
        <v>74</v>
      </c>
      <c r="G19" s="14" t="str">
        <f t="shared" si="4"/>
        <v>44058.386</v>
      </c>
      <c r="H19" s="11">
        <f t="shared" si="5"/>
        <v>5355</v>
      </c>
      <c r="I19" s="49" t="s">
        <v>137</v>
      </c>
      <c r="J19" s="50" t="s">
        <v>138</v>
      </c>
      <c r="K19" s="49">
        <v>5355</v>
      </c>
      <c r="L19" s="49" t="s">
        <v>139</v>
      </c>
      <c r="M19" s="50" t="s">
        <v>94</v>
      </c>
      <c r="N19" s="50"/>
      <c r="O19" s="51" t="s">
        <v>140</v>
      </c>
      <c r="P19" s="51" t="s">
        <v>136</v>
      </c>
    </row>
    <row r="20" spans="1:16" ht="12.75" customHeight="1" thickBot="1" x14ac:dyDescent="0.25">
      <c r="A20" s="11" t="str">
        <f t="shared" si="0"/>
        <v> BBS 44 </v>
      </c>
      <c r="B20" s="16" t="str">
        <f t="shared" si="1"/>
        <v>I</v>
      </c>
      <c r="C20" s="11">
        <f t="shared" si="2"/>
        <v>44090.442999999999</v>
      </c>
      <c r="D20" s="14" t="str">
        <f t="shared" si="3"/>
        <v>vis</v>
      </c>
      <c r="E20" s="48">
        <f>VLOOKUP(C20,Active!C$21:E$973,3,FALSE)</f>
        <v>5365.0033795049249</v>
      </c>
      <c r="F20" s="16" t="s">
        <v>74</v>
      </c>
      <c r="G20" s="14" t="str">
        <f t="shared" si="4"/>
        <v>44090.443</v>
      </c>
      <c r="H20" s="11">
        <f t="shared" si="5"/>
        <v>5365</v>
      </c>
      <c r="I20" s="49" t="s">
        <v>141</v>
      </c>
      <c r="J20" s="50" t="s">
        <v>142</v>
      </c>
      <c r="K20" s="49">
        <v>5365</v>
      </c>
      <c r="L20" s="49" t="s">
        <v>143</v>
      </c>
      <c r="M20" s="50" t="s">
        <v>94</v>
      </c>
      <c r="N20" s="50"/>
      <c r="O20" s="51" t="s">
        <v>144</v>
      </c>
      <c r="P20" s="51" t="s">
        <v>136</v>
      </c>
    </row>
    <row r="21" spans="1:16" ht="12.75" customHeight="1" thickBot="1" x14ac:dyDescent="0.25">
      <c r="A21" s="11" t="str">
        <f t="shared" si="0"/>
        <v> BBS 61 </v>
      </c>
      <c r="B21" s="16" t="str">
        <f t="shared" si="1"/>
        <v>I</v>
      </c>
      <c r="C21" s="11">
        <f t="shared" si="2"/>
        <v>45122.489000000001</v>
      </c>
      <c r="D21" s="14" t="str">
        <f t="shared" si="3"/>
        <v>vis</v>
      </c>
      <c r="E21" s="48">
        <f>VLOOKUP(C21,Active!C$21:E$973,3,FALSE)</f>
        <v>5686.9941974349713</v>
      </c>
      <c r="F21" s="16" t="s">
        <v>74</v>
      </c>
      <c r="G21" s="14" t="str">
        <f t="shared" si="4"/>
        <v>45122.489</v>
      </c>
      <c r="H21" s="11">
        <f t="shared" si="5"/>
        <v>5687</v>
      </c>
      <c r="I21" s="49" t="s">
        <v>145</v>
      </c>
      <c r="J21" s="50" t="s">
        <v>146</v>
      </c>
      <c r="K21" s="49">
        <v>5687</v>
      </c>
      <c r="L21" s="49" t="s">
        <v>112</v>
      </c>
      <c r="M21" s="50" t="s">
        <v>94</v>
      </c>
      <c r="N21" s="50"/>
      <c r="O21" s="51" t="s">
        <v>108</v>
      </c>
      <c r="P21" s="51" t="s">
        <v>147</v>
      </c>
    </row>
    <row r="22" spans="1:16" ht="12.75" customHeight="1" thickBot="1" x14ac:dyDescent="0.25">
      <c r="A22" s="11" t="str">
        <f t="shared" si="0"/>
        <v> BBS 61 </v>
      </c>
      <c r="B22" s="16" t="str">
        <f t="shared" si="1"/>
        <v>I</v>
      </c>
      <c r="C22" s="11">
        <f t="shared" si="2"/>
        <v>45135.341999999997</v>
      </c>
      <c r="D22" s="14" t="str">
        <f t="shared" si="3"/>
        <v>vis</v>
      </c>
      <c r="E22" s="48">
        <f>VLOOKUP(C22,Active!C$21:E$973,3,FALSE)</f>
        <v>5691.0042396063991</v>
      </c>
      <c r="F22" s="16" t="s">
        <v>74</v>
      </c>
      <c r="G22" s="14" t="str">
        <f t="shared" si="4"/>
        <v>45135.342</v>
      </c>
      <c r="H22" s="11">
        <f t="shared" si="5"/>
        <v>5691</v>
      </c>
      <c r="I22" s="49" t="s">
        <v>148</v>
      </c>
      <c r="J22" s="50" t="s">
        <v>149</v>
      </c>
      <c r="K22" s="49">
        <v>5691</v>
      </c>
      <c r="L22" s="49" t="s">
        <v>150</v>
      </c>
      <c r="M22" s="50" t="s">
        <v>94</v>
      </c>
      <c r="N22" s="50"/>
      <c r="O22" s="51" t="s">
        <v>140</v>
      </c>
      <c r="P22" s="51" t="s">
        <v>147</v>
      </c>
    </row>
    <row r="23" spans="1:16" ht="12.75" customHeight="1" thickBot="1" x14ac:dyDescent="0.25">
      <c r="A23" s="11" t="str">
        <f t="shared" si="0"/>
        <v> BBS 62 </v>
      </c>
      <c r="B23" s="16" t="str">
        <f t="shared" si="1"/>
        <v>I</v>
      </c>
      <c r="C23" s="11">
        <f t="shared" si="2"/>
        <v>45183.432999999997</v>
      </c>
      <c r="D23" s="14" t="str">
        <f t="shared" si="3"/>
        <v>vis</v>
      </c>
      <c r="E23" s="48">
        <f>VLOOKUP(C23,Active!C$21:E$973,3,FALSE)</f>
        <v>5706.0082805358479</v>
      </c>
      <c r="F23" s="16" t="s">
        <v>74</v>
      </c>
      <c r="G23" s="14" t="str">
        <f t="shared" si="4"/>
        <v>45183.433</v>
      </c>
      <c r="H23" s="11">
        <f t="shared" si="5"/>
        <v>5706</v>
      </c>
      <c r="I23" s="49" t="s">
        <v>151</v>
      </c>
      <c r="J23" s="50" t="s">
        <v>152</v>
      </c>
      <c r="K23" s="49">
        <v>5706</v>
      </c>
      <c r="L23" s="49" t="s">
        <v>153</v>
      </c>
      <c r="M23" s="50" t="s">
        <v>94</v>
      </c>
      <c r="N23" s="50"/>
      <c r="O23" s="51" t="s">
        <v>144</v>
      </c>
      <c r="P23" s="51" t="s">
        <v>154</v>
      </c>
    </row>
    <row r="24" spans="1:16" ht="12.75" customHeight="1" thickBot="1" x14ac:dyDescent="0.25">
      <c r="A24" s="11" t="str">
        <f t="shared" si="0"/>
        <v> BBS 62 </v>
      </c>
      <c r="B24" s="16" t="str">
        <f t="shared" si="1"/>
        <v>I</v>
      </c>
      <c r="C24" s="11">
        <f t="shared" si="2"/>
        <v>45228.294000000002</v>
      </c>
      <c r="D24" s="14" t="str">
        <f t="shared" si="3"/>
        <v>vis</v>
      </c>
      <c r="E24" s="48">
        <f>VLOOKUP(C24,Active!C$21:E$973,3,FALSE)</f>
        <v>5720.0045850447177</v>
      </c>
      <c r="F24" s="16" t="s">
        <v>74</v>
      </c>
      <c r="G24" s="14" t="str">
        <f t="shared" si="4"/>
        <v>45228.294</v>
      </c>
      <c r="H24" s="11">
        <f t="shared" si="5"/>
        <v>5720</v>
      </c>
      <c r="I24" s="49" t="s">
        <v>155</v>
      </c>
      <c r="J24" s="50" t="s">
        <v>156</v>
      </c>
      <c r="K24" s="49">
        <v>5720</v>
      </c>
      <c r="L24" s="49" t="s">
        <v>157</v>
      </c>
      <c r="M24" s="50" t="s">
        <v>94</v>
      </c>
      <c r="N24" s="50"/>
      <c r="O24" s="51" t="s">
        <v>158</v>
      </c>
      <c r="P24" s="51" t="s">
        <v>154</v>
      </c>
    </row>
    <row r="25" spans="1:16" ht="12.75" customHeight="1" thickBot="1" x14ac:dyDescent="0.25">
      <c r="A25" s="11" t="str">
        <f t="shared" si="0"/>
        <v> BBS 67 </v>
      </c>
      <c r="B25" s="16" t="str">
        <f t="shared" si="1"/>
        <v>I</v>
      </c>
      <c r="C25" s="11">
        <f t="shared" si="2"/>
        <v>45542.387000000002</v>
      </c>
      <c r="D25" s="14" t="str">
        <f t="shared" si="3"/>
        <v>vis</v>
      </c>
      <c r="E25" s="48">
        <f>VLOOKUP(C25,Active!C$21:E$973,3,FALSE)</f>
        <v>5817.9993081249895</v>
      </c>
      <c r="F25" s="16" t="s">
        <v>74</v>
      </c>
      <c r="G25" s="14" t="str">
        <f t="shared" si="4"/>
        <v>45542.387</v>
      </c>
      <c r="H25" s="11">
        <f t="shared" si="5"/>
        <v>5818</v>
      </c>
      <c r="I25" s="49" t="s">
        <v>159</v>
      </c>
      <c r="J25" s="50" t="s">
        <v>160</v>
      </c>
      <c r="K25" s="49">
        <v>5818</v>
      </c>
      <c r="L25" s="49" t="s">
        <v>161</v>
      </c>
      <c r="M25" s="50" t="s">
        <v>94</v>
      </c>
      <c r="N25" s="50"/>
      <c r="O25" s="51" t="s">
        <v>158</v>
      </c>
      <c r="P25" s="51" t="s">
        <v>162</v>
      </c>
    </row>
    <row r="26" spans="1:16" ht="12.75" customHeight="1" thickBot="1" x14ac:dyDescent="0.25">
      <c r="A26" s="11" t="str">
        <f t="shared" si="0"/>
        <v> BBS 95 </v>
      </c>
      <c r="B26" s="16" t="str">
        <f t="shared" si="1"/>
        <v>I</v>
      </c>
      <c r="C26" s="11">
        <f t="shared" si="2"/>
        <v>48010.434999999998</v>
      </c>
      <c r="D26" s="14" t="str">
        <f t="shared" si="3"/>
        <v>vis</v>
      </c>
      <c r="E26" s="48">
        <f>VLOOKUP(C26,Active!C$21:E$973,3,FALSE)</f>
        <v>6588.0122670537694</v>
      </c>
      <c r="F26" s="16" t="s">
        <v>74</v>
      </c>
      <c r="G26" s="14" t="str">
        <f t="shared" si="4"/>
        <v>48010.435</v>
      </c>
      <c r="H26" s="11">
        <f t="shared" si="5"/>
        <v>6588</v>
      </c>
      <c r="I26" s="49" t="s">
        <v>163</v>
      </c>
      <c r="J26" s="50" t="s">
        <v>164</v>
      </c>
      <c r="K26" s="49">
        <v>6588</v>
      </c>
      <c r="L26" s="49" t="s">
        <v>99</v>
      </c>
      <c r="M26" s="50" t="s">
        <v>94</v>
      </c>
      <c r="N26" s="50"/>
      <c r="O26" s="51" t="s">
        <v>144</v>
      </c>
      <c r="P26" s="51" t="s">
        <v>165</v>
      </c>
    </row>
    <row r="27" spans="1:16" ht="12.75" customHeight="1" thickBot="1" x14ac:dyDescent="0.25">
      <c r="A27" s="11" t="str">
        <f t="shared" si="0"/>
        <v> BBS 95 </v>
      </c>
      <c r="B27" s="16" t="str">
        <f t="shared" si="1"/>
        <v>I</v>
      </c>
      <c r="C27" s="11">
        <f t="shared" si="2"/>
        <v>48042.472000000002</v>
      </c>
      <c r="D27" s="14" t="str">
        <f t="shared" si="3"/>
        <v>vis</v>
      </c>
      <c r="E27" s="48">
        <f>VLOOKUP(C27,Active!C$21:E$973,3,FALSE)</f>
        <v>6598.0075771795064</v>
      </c>
      <c r="F27" s="16" t="s">
        <v>74</v>
      </c>
      <c r="G27" s="14" t="str">
        <f t="shared" si="4"/>
        <v>48042.472</v>
      </c>
      <c r="H27" s="11">
        <f t="shared" si="5"/>
        <v>6598</v>
      </c>
      <c r="I27" s="49" t="s">
        <v>166</v>
      </c>
      <c r="J27" s="50" t="s">
        <v>167</v>
      </c>
      <c r="K27" s="49">
        <v>6598</v>
      </c>
      <c r="L27" s="49" t="s">
        <v>168</v>
      </c>
      <c r="M27" s="50" t="s">
        <v>94</v>
      </c>
      <c r="N27" s="50"/>
      <c r="O27" s="51" t="s">
        <v>144</v>
      </c>
      <c r="P27" s="51" t="s">
        <v>165</v>
      </c>
    </row>
    <row r="28" spans="1:16" ht="12.75" customHeight="1" thickBot="1" x14ac:dyDescent="0.25">
      <c r="A28" s="11" t="str">
        <f t="shared" si="0"/>
        <v> BBS 102 </v>
      </c>
      <c r="B28" s="16" t="str">
        <f t="shared" si="1"/>
        <v>I</v>
      </c>
      <c r="C28" s="11">
        <f t="shared" si="2"/>
        <v>48853.387999999999</v>
      </c>
      <c r="D28" s="14" t="str">
        <f t="shared" si="3"/>
        <v>vis</v>
      </c>
      <c r="E28" s="48">
        <f>VLOOKUP(C28,Active!C$21:E$973,3,FALSE)</f>
        <v>6851.0074493872953</v>
      </c>
      <c r="F28" s="16" t="s">
        <v>74</v>
      </c>
      <c r="G28" s="14" t="str">
        <f t="shared" si="4"/>
        <v>48853.388</v>
      </c>
      <c r="H28" s="11">
        <f t="shared" si="5"/>
        <v>6851</v>
      </c>
      <c r="I28" s="49" t="s">
        <v>169</v>
      </c>
      <c r="J28" s="50" t="s">
        <v>170</v>
      </c>
      <c r="K28" s="49">
        <v>6851</v>
      </c>
      <c r="L28" s="49" t="s">
        <v>168</v>
      </c>
      <c r="M28" s="50" t="s">
        <v>94</v>
      </c>
      <c r="N28" s="50"/>
      <c r="O28" s="51" t="s">
        <v>144</v>
      </c>
      <c r="P28" s="51" t="s">
        <v>171</v>
      </c>
    </row>
    <row r="29" spans="1:16" ht="12.75" customHeight="1" thickBot="1" x14ac:dyDescent="0.25">
      <c r="A29" s="11" t="str">
        <f t="shared" si="0"/>
        <v> BBS 107 </v>
      </c>
      <c r="B29" s="16" t="str">
        <f t="shared" si="1"/>
        <v>I</v>
      </c>
      <c r="C29" s="11">
        <f t="shared" si="2"/>
        <v>49587.394999999997</v>
      </c>
      <c r="D29" s="14" t="str">
        <f t="shared" si="3"/>
        <v>vis</v>
      </c>
      <c r="E29" s="48">
        <f>VLOOKUP(C29,Active!C$21:E$973,3,FALSE)</f>
        <v>7080.0122750407827</v>
      </c>
      <c r="F29" s="16" t="s">
        <v>74</v>
      </c>
      <c r="G29" s="14" t="str">
        <f t="shared" si="4"/>
        <v>49587.395</v>
      </c>
      <c r="H29" s="11">
        <f t="shared" si="5"/>
        <v>7080</v>
      </c>
      <c r="I29" s="49" t="s">
        <v>172</v>
      </c>
      <c r="J29" s="50" t="s">
        <v>173</v>
      </c>
      <c r="K29" s="49">
        <v>7080</v>
      </c>
      <c r="L29" s="49" t="s">
        <v>99</v>
      </c>
      <c r="M29" s="50" t="s">
        <v>94</v>
      </c>
      <c r="N29" s="50"/>
      <c r="O29" s="51" t="s">
        <v>144</v>
      </c>
      <c r="P29" s="51" t="s">
        <v>174</v>
      </c>
    </row>
    <row r="30" spans="1:16" ht="12.75" customHeight="1" thickBot="1" x14ac:dyDescent="0.25">
      <c r="A30" s="11" t="str">
        <f t="shared" si="0"/>
        <v>BAVM 152 </v>
      </c>
      <c r="B30" s="16" t="str">
        <f t="shared" si="1"/>
        <v>I</v>
      </c>
      <c r="C30" s="11">
        <f t="shared" si="2"/>
        <v>51680.424800000001</v>
      </c>
      <c r="D30" s="14" t="str">
        <f t="shared" si="3"/>
        <v>vis</v>
      </c>
      <c r="E30" s="48">
        <f>VLOOKUP(C30,Active!C$21:E$973,3,FALSE)</f>
        <v>7733.0222932511733</v>
      </c>
      <c r="F30" s="16" t="s">
        <v>74</v>
      </c>
      <c r="G30" s="14" t="str">
        <f t="shared" si="4"/>
        <v>51680.4248</v>
      </c>
      <c r="H30" s="11">
        <f t="shared" si="5"/>
        <v>7733</v>
      </c>
      <c r="I30" s="49" t="s">
        <v>175</v>
      </c>
      <c r="J30" s="50" t="s">
        <v>176</v>
      </c>
      <c r="K30" s="49">
        <v>7733</v>
      </c>
      <c r="L30" s="49" t="s">
        <v>177</v>
      </c>
      <c r="M30" s="50" t="s">
        <v>178</v>
      </c>
      <c r="N30" s="50" t="s">
        <v>179</v>
      </c>
      <c r="O30" s="51" t="s">
        <v>180</v>
      </c>
      <c r="P30" s="52" t="s">
        <v>181</v>
      </c>
    </row>
    <row r="31" spans="1:16" ht="12.75" customHeight="1" thickBot="1" x14ac:dyDescent="0.25">
      <c r="A31" s="11" t="str">
        <f t="shared" si="0"/>
        <v>BAVM 220 </v>
      </c>
      <c r="B31" s="16" t="str">
        <f t="shared" si="1"/>
        <v>I</v>
      </c>
      <c r="C31" s="11">
        <f t="shared" si="2"/>
        <v>55305.495300000002</v>
      </c>
      <c r="D31" s="14" t="str">
        <f t="shared" si="3"/>
        <v>vis</v>
      </c>
      <c r="E31" s="48">
        <f>VLOOKUP(C31,Active!C$21:E$973,3,FALSE)</f>
        <v>8864.017825765306</v>
      </c>
      <c r="F31" s="16" t="s">
        <v>74</v>
      </c>
      <c r="G31" s="14" t="str">
        <f t="shared" si="4"/>
        <v>55305.4953</v>
      </c>
      <c r="H31" s="11">
        <f t="shared" si="5"/>
        <v>8864</v>
      </c>
      <c r="I31" s="49" t="s">
        <v>195</v>
      </c>
      <c r="J31" s="50" t="s">
        <v>196</v>
      </c>
      <c r="K31" s="49" t="s">
        <v>197</v>
      </c>
      <c r="L31" s="49" t="s">
        <v>198</v>
      </c>
      <c r="M31" s="50" t="s">
        <v>191</v>
      </c>
      <c r="N31" s="50" t="s">
        <v>192</v>
      </c>
      <c r="O31" s="51" t="s">
        <v>199</v>
      </c>
      <c r="P31" s="52" t="s">
        <v>200</v>
      </c>
    </row>
    <row r="32" spans="1:16" ht="12.75" customHeight="1" thickBot="1" x14ac:dyDescent="0.25">
      <c r="A32" s="11" t="str">
        <f t="shared" si="0"/>
        <v>OEJV 0160 </v>
      </c>
      <c r="B32" s="16" t="str">
        <f t="shared" si="1"/>
        <v>I</v>
      </c>
      <c r="C32" s="11">
        <f t="shared" si="2"/>
        <v>56132.419090000003</v>
      </c>
      <c r="D32" s="14" t="str">
        <f t="shared" si="3"/>
        <v>vis</v>
      </c>
      <c r="E32" s="48">
        <f>VLOOKUP(C32,Active!C$21:E$973,3,FALSE)</f>
        <v>9122.0120115941481</v>
      </c>
      <c r="F32" s="16" t="s">
        <v>74</v>
      </c>
      <c r="G32" s="14" t="str">
        <f t="shared" si="4"/>
        <v>56132.41909</v>
      </c>
      <c r="H32" s="11">
        <f t="shared" si="5"/>
        <v>9122</v>
      </c>
      <c r="I32" s="49" t="s">
        <v>201</v>
      </c>
      <c r="J32" s="50" t="s">
        <v>202</v>
      </c>
      <c r="K32" s="49" t="s">
        <v>203</v>
      </c>
      <c r="L32" s="49" t="s">
        <v>204</v>
      </c>
      <c r="M32" s="50" t="s">
        <v>191</v>
      </c>
      <c r="N32" s="50" t="s">
        <v>66</v>
      </c>
      <c r="O32" s="51" t="s">
        <v>205</v>
      </c>
      <c r="P32" s="52" t="s">
        <v>206</v>
      </c>
    </row>
    <row r="33" spans="1:16" ht="12.75" customHeight="1" thickBot="1" x14ac:dyDescent="0.25">
      <c r="A33" s="11" t="str">
        <f t="shared" si="0"/>
        <v> AN 276.176 </v>
      </c>
      <c r="B33" s="16" t="str">
        <f t="shared" si="1"/>
        <v>I</v>
      </c>
      <c r="C33" s="11">
        <f t="shared" si="2"/>
        <v>26894.428</v>
      </c>
      <c r="D33" s="14" t="str">
        <f t="shared" si="3"/>
        <v>vis</v>
      </c>
      <c r="E33" s="48">
        <f>VLOOKUP(C33,Active!C$21:E$973,3,FALSE)</f>
        <v>-2.7767350288412849E-2</v>
      </c>
      <c r="F33" s="16" t="s">
        <v>74</v>
      </c>
      <c r="G33" s="14" t="str">
        <f t="shared" si="4"/>
        <v>26894.428</v>
      </c>
      <c r="H33" s="11">
        <f t="shared" si="5"/>
        <v>0</v>
      </c>
      <c r="I33" s="49" t="s">
        <v>76</v>
      </c>
      <c r="J33" s="50" t="s">
        <v>77</v>
      </c>
      <c r="K33" s="49">
        <v>0</v>
      </c>
      <c r="L33" s="49" t="s">
        <v>78</v>
      </c>
      <c r="M33" s="50" t="s">
        <v>79</v>
      </c>
      <c r="N33" s="50"/>
      <c r="O33" s="51" t="s">
        <v>80</v>
      </c>
      <c r="P33" s="51" t="s">
        <v>81</v>
      </c>
    </row>
    <row r="34" spans="1:16" ht="12.75" customHeight="1" thickBot="1" x14ac:dyDescent="0.25">
      <c r="A34" s="11" t="str">
        <f t="shared" si="0"/>
        <v> AN 276.176 </v>
      </c>
      <c r="B34" s="16" t="str">
        <f t="shared" si="1"/>
        <v>I</v>
      </c>
      <c r="C34" s="11">
        <f t="shared" si="2"/>
        <v>27596.465</v>
      </c>
      <c r="D34" s="14" t="str">
        <f t="shared" si="3"/>
        <v>vis</v>
      </c>
      <c r="E34" s="48">
        <f>VLOOKUP(C34,Active!C$21:E$973,3,FALSE)</f>
        <v>219.00265168835483</v>
      </c>
      <c r="F34" s="16" t="s">
        <v>74</v>
      </c>
      <c r="G34" s="14" t="str">
        <f t="shared" si="4"/>
        <v>27596.465</v>
      </c>
      <c r="H34" s="11">
        <f t="shared" si="5"/>
        <v>219</v>
      </c>
      <c r="I34" s="49" t="s">
        <v>82</v>
      </c>
      <c r="J34" s="50" t="s">
        <v>83</v>
      </c>
      <c r="K34" s="49">
        <v>219</v>
      </c>
      <c r="L34" s="49" t="s">
        <v>84</v>
      </c>
      <c r="M34" s="50" t="s">
        <v>79</v>
      </c>
      <c r="N34" s="50"/>
      <c r="O34" s="51" t="s">
        <v>80</v>
      </c>
      <c r="P34" s="51" t="s">
        <v>81</v>
      </c>
    </row>
    <row r="35" spans="1:16" ht="12.75" customHeight="1" thickBot="1" x14ac:dyDescent="0.25">
      <c r="A35" s="11" t="str">
        <f t="shared" si="0"/>
        <v> AN 276.176 </v>
      </c>
      <c r="B35" s="16" t="str">
        <f t="shared" si="1"/>
        <v>I</v>
      </c>
      <c r="C35" s="11">
        <f t="shared" si="2"/>
        <v>28016.444</v>
      </c>
      <c r="D35" s="14" t="str">
        <f t="shared" si="3"/>
        <v>vis</v>
      </c>
      <c r="E35" s="48">
        <f>VLOOKUP(C35,Active!C$21:E$973,3,FALSE)</f>
        <v>350.0330337870621</v>
      </c>
      <c r="F35" s="16" t="s">
        <v>74</v>
      </c>
      <c r="G35" s="14" t="str">
        <f t="shared" si="4"/>
        <v>28016.444</v>
      </c>
      <c r="H35" s="11">
        <f t="shared" si="5"/>
        <v>350</v>
      </c>
      <c r="I35" s="49" t="s">
        <v>85</v>
      </c>
      <c r="J35" s="50" t="s">
        <v>86</v>
      </c>
      <c r="K35" s="49">
        <v>350</v>
      </c>
      <c r="L35" s="49" t="s">
        <v>87</v>
      </c>
      <c r="M35" s="50" t="s">
        <v>79</v>
      </c>
      <c r="N35" s="50"/>
      <c r="O35" s="51" t="s">
        <v>80</v>
      </c>
      <c r="P35" s="51" t="s">
        <v>81</v>
      </c>
    </row>
    <row r="36" spans="1:16" ht="12.75" customHeight="1" thickBot="1" x14ac:dyDescent="0.25">
      <c r="A36" s="11" t="str">
        <f t="shared" si="0"/>
        <v> AN 276.176 </v>
      </c>
      <c r="B36" s="16" t="str">
        <f t="shared" si="1"/>
        <v>I</v>
      </c>
      <c r="C36" s="11">
        <f t="shared" si="2"/>
        <v>29516.406999999999</v>
      </c>
      <c r="D36" s="14" t="str">
        <f t="shared" si="3"/>
        <v>vis</v>
      </c>
      <c r="E36" s="48">
        <f>VLOOKUP(C36,Active!C$21:E$973,3,FALSE)</f>
        <v>818.01053986218392</v>
      </c>
      <c r="F36" s="16" t="s">
        <v>74</v>
      </c>
      <c r="G36" s="14" t="str">
        <f t="shared" si="4"/>
        <v>29516.407</v>
      </c>
      <c r="H36" s="11">
        <f t="shared" si="5"/>
        <v>818</v>
      </c>
      <c r="I36" s="49" t="s">
        <v>88</v>
      </c>
      <c r="J36" s="50" t="s">
        <v>89</v>
      </c>
      <c r="K36" s="49">
        <v>818</v>
      </c>
      <c r="L36" s="49" t="s">
        <v>90</v>
      </c>
      <c r="M36" s="50" t="s">
        <v>79</v>
      </c>
      <c r="N36" s="50"/>
      <c r="O36" s="51" t="s">
        <v>80</v>
      </c>
      <c r="P36" s="51" t="s">
        <v>81</v>
      </c>
    </row>
    <row r="37" spans="1:16" ht="12.75" customHeight="1" thickBot="1" x14ac:dyDescent="0.25">
      <c r="A37" s="11" t="str">
        <f t="shared" si="0"/>
        <v> IODE 4.2.239 </v>
      </c>
      <c r="B37" s="16" t="str">
        <f t="shared" si="1"/>
        <v>I</v>
      </c>
      <c r="C37" s="11">
        <f t="shared" si="2"/>
        <v>30904.292000000001</v>
      </c>
      <c r="D37" s="14" t="str">
        <f t="shared" si="3"/>
        <v>vis</v>
      </c>
      <c r="E37" s="48">
        <f>VLOOKUP(C37,Active!C$21:E$973,3,FALSE)</f>
        <v>1251.0205281212752</v>
      </c>
      <c r="F37" s="16" t="s">
        <v>74</v>
      </c>
      <c r="G37" s="14" t="str">
        <f t="shared" si="4"/>
        <v>30904.292</v>
      </c>
      <c r="H37" s="11">
        <f t="shared" si="5"/>
        <v>1251</v>
      </c>
      <c r="I37" s="49" t="s">
        <v>91</v>
      </c>
      <c r="J37" s="50" t="s">
        <v>92</v>
      </c>
      <c r="K37" s="49">
        <v>1251</v>
      </c>
      <c r="L37" s="49" t="s">
        <v>93</v>
      </c>
      <c r="M37" s="50" t="s">
        <v>94</v>
      </c>
      <c r="N37" s="50"/>
      <c r="O37" s="51" t="s">
        <v>95</v>
      </c>
      <c r="P37" s="51" t="s">
        <v>96</v>
      </c>
    </row>
    <row r="38" spans="1:16" ht="12.75" customHeight="1" thickBot="1" x14ac:dyDescent="0.25">
      <c r="A38" s="11" t="str">
        <f t="shared" si="0"/>
        <v> IODE 4.2.239 </v>
      </c>
      <c r="B38" s="16" t="str">
        <f t="shared" si="1"/>
        <v>I</v>
      </c>
      <c r="C38" s="11">
        <f t="shared" si="2"/>
        <v>31231.196</v>
      </c>
      <c r="D38" s="14" t="str">
        <f t="shared" si="3"/>
        <v>vis</v>
      </c>
      <c r="E38" s="48">
        <f>VLOOKUP(C38,Active!C$21:E$973,3,FALSE)</f>
        <v>1353.0121896795811</v>
      </c>
      <c r="F38" s="16" t="s">
        <v>74</v>
      </c>
      <c r="G38" s="14" t="str">
        <f t="shared" si="4"/>
        <v>31231.196</v>
      </c>
      <c r="H38" s="11">
        <f t="shared" si="5"/>
        <v>1353</v>
      </c>
      <c r="I38" s="49" t="s">
        <v>97</v>
      </c>
      <c r="J38" s="50" t="s">
        <v>98</v>
      </c>
      <c r="K38" s="49">
        <v>1353</v>
      </c>
      <c r="L38" s="49" t="s">
        <v>99</v>
      </c>
      <c r="M38" s="50" t="s">
        <v>94</v>
      </c>
      <c r="N38" s="50"/>
      <c r="O38" s="51" t="s">
        <v>95</v>
      </c>
      <c r="P38" s="51" t="s">
        <v>96</v>
      </c>
    </row>
    <row r="39" spans="1:16" ht="12.75" customHeight="1" thickBot="1" x14ac:dyDescent="0.25">
      <c r="A39" s="11" t="str">
        <f t="shared" si="0"/>
        <v> SAC 18.62 </v>
      </c>
      <c r="B39" s="16" t="str">
        <f t="shared" si="1"/>
        <v>I</v>
      </c>
      <c r="C39" s="11">
        <f t="shared" si="2"/>
        <v>31231.204000000002</v>
      </c>
      <c r="D39" s="14" t="str">
        <f t="shared" si="3"/>
        <v>vis</v>
      </c>
      <c r="E39" s="48">
        <f>VLOOKUP(C39,Active!C$21:E$973,3,FALSE)</f>
        <v>1353.0146856211804</v>
      </c>
      <c r="F39" s="16" t="s">
        <v>74</v>
      </c>
      <c r="G39" s="14" t="str">
        <f t="shared" si="4"/>
        <v>31231.204</v>
      </c>
      <c r="H39" s="11">
        <f t="shared" si="5"/>
        <v>1353</v>
      </c>
      <c r="I39" s="49" t="s">
        <v>100</v>
      </c>
      <c r="J39" s="50" t="s">
        <v>101</v>
      </c>
      <c r="K39" s="49">
        <v>1353</v>
      </c>
      <c r="L39" s="49" t="s">
        <v>102</v>
      </c>
      <c r="M39" s="50" t="s">
        <v>94</v>
      </c>
      <c r="N39" s="50"/>
      <c r="O39" s="51" t="s">
        <v>103</v>
      </c>
      <c r="P39" s="51" t="s">
        <v>104</v>
      </c>
    </row>
    <row r="40" spans="1:16" ht="12.75" customHeight="1" thickBot="1" x14ac:dyDescent="0.25">
      <c r="A40" s="11" t="str">
        <f t="shared" si="0"/>
        <v>VSB 43 </v>
      </c>
      <c r="B40" s="16" t="str">
        <f t="shared" si="1"/>
        <v>I</v>
      </c>
      <c r="C40" s="11">
        <f t="shared" si="2"/>
        <v>53190.089699999997</v>
      </c>
      <c r="D40" s="14" t="str">
        <f t="shared" si="3"/>
        <v>vis</v>
      </c>
      <c r="E40" s="48">
        <f>VLOOKUP(C40,Active!C$21:E$973,3,FALSE)</f>
        <v>8204.026721301163</v>
      </c>
      <c r="F40" s="16" t="s">
        <v>74</v>
      </c>
      <c r="G40" s="14" t="str">
        <f t="shared" si="4"/>
        <v>53190.0897</v>
      </c>
      <c r="H40" s="11">
        <f t="shared" si="5"/>
        <v>8204</v>
      </c>
      <c r="I40" s="49" t="s">
        <v>182</v>
      </c>
      <c r="J40" s="50" t="s">
        <v>183</v>
      </c>
      <c r="K40" s="49">
        <v>8204</v>
      </c>
      <c r="L40" s="49" t="s">
        <v>184</v>
      </c>
      <c r="M40" s="50" t="s">
        <v>178</v>
      </c>
      <c r="N40" s="50" t="s">
        <v>185</v>
      </c>
      <c r="O40" s="51" t="s">
        <v>186</v>
      </c>
      <c r="P40" s="52" t="s">
        <v>187</v>
      </c>
    </row>
    <row r="41" spans="1:16" ht="12.75" customHeight="1" thickBot="1" x14ac:dyDescent="0.25">
      <c r="A41" s="11" t="str">
        <f t="shared" si="0"/>
        <v>BAVM 203 </v>
      </c>
      <c r="B41" s="16" t="str">
        <f t="shared" si="1"/>
        <v>I</v>
      </c>
      <c r="C41" s="11">
        <f t="shared" si="2"/>
        <v>54709.340199999999</v>
      </c>
      <c r="D41" s="14" t="str">
        <f t="shared" si="3"/>
        <v>vis</v>
      </c>
      <c r="E41" s="48">
        <f>VLOOKUP(C41,Active!C$21:E$973,3,FALSE)</f>
        <v>8678.0217865750292</v>
      </c>
      <c r="F41" s="16" t="s">
        <v>74</v>
      </c>
      <c r="G41" s="14" t="str">
        <f t="shared" si="4"/>
        <v>54709.3402</v>
      </c>
      <c r="H41" s="11">
        <f t="shared" si="5"/>
        <v>8678</v>
      </c>
      <c r="I41" s="49" t="s">
        <v>188</v>
      </c>
      <c r="J41" s="50" t="s">
        <v>189</v>
      </c>
      <c r="K41" s="49">
        <v>8678</v>
      </c>
      <c r="L41" s="49" t="s">
        <v>190</v>
      </c>
      <c r="M41" s="50" t="s">
        <v>191</v>
      </c>
      <c r="N41" s="50" t="s">
        <v>192</v>
      </c>
      <c r="O41" s="51" t="s">
        <v>193</v>
      </c>
      <c r="P41" s="52" t="s">
        <v>194</v>
      </c>
    </row>
    <row r="42" spans="1:16" x14ac:dyDescent="0.2">
      <c r="B42" s="16"/>
      <c r="E42" s="48"/>
      <c r="F42" s="16"/>
    </row>
    <row r="43" spans="1:16" x14ac:dyDescent="0.2">
      <c r="B43" s="16"/>
      <c r="E43" s="48"/>
      <c r="F43" s="16"/>
    </row>
    <row r="44" spans="1:16" x14ac:dyDescent="0.2">
      <c r="B44" s="16"/>
      <c r="E44" s="48"/>
      <c r="F44" s="16"/>
    </row>
    <row r="45" spans="1:16" x14ac:dyDescent="0.2">
      <c r="B45" s="16"/>
      <c r="F45" s="16"/>
    </row>
    <row r="46" spans="1:16" x14ac:dyDescent="0.2">
      <c r="B46" s="16"/>
      <c r="F46" s="16"/>
    </row>
    <row r="47" spans="1:16" x14ac:dyDescent="0.2">
      <c r="B47" s="16"/>
      <c r="F47" s="16"/>
    </row>
    <row r="48" spans="1:16" x14ac:dyDescent="0.2">
      <c r="B48" s="16"/>
      <c r="F48" s="16"/>
    </row>
    <row r="49" spans="2:6" x14ac:dyDescent="0.2">
      <c r="B49" s="16"/>
      <c r="F49" s="16"/>
    </row>
    <row r="50" spans="2:6" x14ac:dyDescent="0.2">
      <c r="B50" s="16"/>
      <c r="F50" s="16"/>
    </row>
    <row r="51" spans="2:6" x14ac:dyDescent="0.2">
      <c r="B51" s="16"/>
      <c r="F51" s="16"/>
    </row>
    <row r="52" spans="2:6" x14ac:dyDescent="0.2">
      <c r="B52" s="16"/>
      <c r="F52" s="16"/>
    </row>
    <row r="53" spans="2:6" x14ac:dyDescent="0.2">
      <c r="B53" s="16"/>
      <c r="F53" s="16"/>
    </row>
    <row r="54" spans="2:6" x14ac:dyDescent="0.2">
      <c r="B54" s="16"/>
      <c r="F54" s="16"/>
    </row>
    <row r="55" spans="2:6" x14ac:dyDescent="0.2">
      <c r="B55" s="16"/>
      <c r="F55" s="16"/>
    </row>
    <row r="56" spans="2:6" x14ac:dyDescent="0.2">
      <c r="B56" s="16"/>
      <c r="F56" s="16"/>
    </row>
    <row r="57" spans="2:6" x14ac:dyDescent="0.2">
      <c r="B57" s="16"/>
      <c r="F57" s="16"/>
    </row>
    <row r="58" spans="2:6" x14ac:dyDescent="0.2">
      <c r="B58" s="16"/>
      <c r="F58" s="16"/>
    </row>
    <row r="59" spans="2:6" x14ac:dyDescent="0.2">
      <c r="B59" s="16"/>
      <c r="F59" s="16"/>
    </row>
    <row r="60" spans="2:6" x14ac:dyDescent="0.2">
      <c r="B60" s="16"/>
      <c r="F60" s="16"/>
    </row>
    <row r="61" spans="2:6" x14ac:dyDescent="0.2">
      <c r="B61" s="16"/>
      <c r="F61" s="16"/>
    </row>
    <row r="62" spans="2:6" x14ac:dyDescent="0.2">
      <c r="B62" s="16"/>
      <c r="F62" s="16"/>
    </row>
    <row r="63" spans="2:6" x14ac:dyDescent="0.2">
      <c r="B63" s="16"/>
      <c r="F63" s="16"/>
    </row>
    <row r="64" spans="2:6" x14ac:dyDescent="0.2">
      <c r="B64" s="16"/>
      <c r="F64" s="16"/>
    </row>
    <row r="65" spans="2:6" x14ac:dyDescent="0.2">
      <c r="B65" s="16"/>
      <c r="F65" s="16"/>
    </row>
    <row r="66" spans="2:6" x14ac:dyDescent="0.2">
      <c r="B66" s="16"/>
      <c r="F66" s="16"/>
    </row>
    <row r="67" spans="2:6" x14ac:dyDescent="0.2">
      <c r="B67" s="16"/>
      <c r="F67" s="16"/>
    </row>
    <row r="68" spans="2:6" x14ac:dyDescent="0.2">
      <c r="B68" s="16"/>
      <c r="F68" s="16"/>
    </row>
    <row r="69" spans="2:6" x14ac:dyDescent="0.2">
      <c r="B69" s="16"/>
      <c r="F69" s="16"/>
    </row>
    <row r="70" spans="2:6" x14ac:dyDescent="0.2">
      <c r="B70" s="16"/>
      <c r="F70" s="16"/>
    </row>
    <row r="71" spans="2:6" x14ac:dyDescent="0.2">
      <c r="B71" s="16"/>
      <c r="F71" s="16"/>
    </row>
    <row r="72" spans="2:6" x14ac:dyDescent="0.2">
      <c r="B72" s="16"/>
      <c r="F72" s="16"/>
    </row>
    <row r="73" spans="2:6" x14ac:dyDescent="0.2">
      <c r="B73" s="16"/>
      <c r="F73" s="16"/>
    </row>
    <row r="74" spans="2:6" x14ac:dyDescent="0.2">
      <c r="B74" s="16"/>
      <c r="F74" s="16"/>
    </row>
    <row r="75" spans="2:6" x14ac:dyDescent="0.2">
      <c r="B75" s="16"/>
      <c r="F75" s="16"/>
    </row>
    <row r="76" spans="2:6" x14ac:dyDescent="0.2">
      <c r="B76" s="16"/>
      <c r="F76" s="16"/>
    </row>
    <row r="77" spans="2:6" x14ac:dyDescent="0.2">
      <c r="B77" s="16"/>
      <c r="F77" s="16"/>
    </row>
    <row r="78" spans="2:6" x14ac:dyDescent="0.2">
      <c r="B78" s="16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</sheetData>
  <phoneticPr fontId="7" type="noConversion"/>
  <hyperlinks>
    <hyperlink ref="P30" r:id="rId1" display="http://www.bav-astro.de/sfs/BAVM_link.php?BAVMnr=152"/>
    <hyperlink ref="P40" r:id="rId2" display="http://vsolj.cetus-net.org/no43.pdf"/>
    <hyperlink ref="P41" r:id="rId3" display="http://www.bav-astro.de/sfs/BAVM_link.php?BAVMnr=203"/>
    <hyperlink ref="P31" r:id="rId4" display="http://www.bav-astro.de/sfs/BAVM_link.php?BAVMnr=220"/>
    <hyperlink ref="P32" r:id="rId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2023-01-20T06:43:13Z</dcterms:modified>
</cp:coreProperties>
</file>